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wortmann2\Desktop\Nebraska\OFRA\Flash\OFRA Extension training\"/>
    </mc:Choice>
  </mc:AlternateContent>
  <workbookProtection workbookPassword="C75C" lockStructure="1"/>
  <bookViews>
    <workbookView minimized="1" xWindow="0" yWindow="120" windowWidth="15300" windowHeight="8730" activeTab="1"/>
  </bookViews>
  <sheets>
    <sheet name="Help and Instructions" sheetId="4" r:id="rId1"/>
    <sheet name="Fertilizer Optimization" sheetId="2" r:id="rId2"/>
  </sheets>
  <definedNames>
    <definedName name="Output">'Fertilizer Optimization'!$B$1:$I$78</definedName>
    <definedName name="solver_adj" localSheetId="1" hidden="1">'Fertilizer Optimization'!$O$32:$S$37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lhs1" localSheetId="1" hidden="1">'Fertilizer Optimization'!$O$32:$S$37</definedName>
    <definedName name="solver_lhs10" localSheetId="1" hidden="1">'Fertilizer Optimization'!$O$32:$R$38</definedName>
    <definedName name="solver_lhs11" localSheetId="1" hidden="1">'Fertilizer Optimization'!$T$76:$V$76</definedName>
    <definedName name="solver_lhs12" localSheetId="1" hidden="1">'Fertilizer Optimization'!$T$52</definedName>
    <definedName name="solver_lhs13" localSheetId="1" hidden="1">'Fertilizer Optimization'!$O$32:$R$38</definedName>
    <definedName name="solver_lhs14" localSheetId="1" hidden="1">'Fertilizer Optimization'!$O$32:$R$38</definedName>
    <definedName name="solver_lhs15" localSheetId="1" hidden="1">'Fertilizer Optimization'!$T$76:$V$76</definedName>
    <definedName name="solver_lhs16" localSheetId="1" hidden="1">'Fertilizer Optimization'!$T$52</definedName>
    <definedName name="solver_lhs17" localSheetId="1" hidden="1">'Fertilizer Optimization'!$O$32:$R$38</definedName>
    <definedName name="solver_lhs18" localSheetId="1" hidden="1">'Fertilizer Optimization'!$O$32:$R$38</definedName>
    <definedName name="solver_lhs19" localSheetId="1" hidden="1">'Fertilizer Optimization'!$T$76:$V$76</definedName>
    <definedName name="solver_lhs2" localSheetId="1" hidden="1">'Fertilizer Optimization'!$O$32:$S$37</definedName>
    <definedName name="solver_lhs20" localSheetId="1" hidden="1">'Fertilizer Optimization'!$T$52</definedName>
    <definedName name="solver_lhs21" localSheetId="1" hidden="1">'Fertilizer Optimization'!$P$34</definedName>
    <definedName name="solver_lhs22" localSheetId="1" hidden="1">'Fertilizer Optimization'!$P$33</definedName>
    <definedName name="solver_lhs23" localSheetId="1" hidden="1">'Fertilizer Optimization'!$P$32</definedName>
    <definedName name="solver_lhs24" localSheetId="1" hidden="1">'Fertilizer Optimization'!$Q$37</definedName>
    <definedName name="solver_lhs25" localSheetId="1" hidden="1">'Fertilizer Optimization'!$Q$36</definedName>
    <definedName name="solver_lhs26" localSheetId="1" hidden="1">'Fertilizer Optimization'!$M$38</definedName>
    <definedName name="solver_lhs3" localSheetId="1" hidden="1">'Fertilizer Optimization'!$AB$32:$AD$37</definedName>
    <definedName name="solver_lhs4" localSheetId="1" hidden="1">'Fertilizer Optimization'!$T$52</definedName>
    <definedName name="solver_lhs5" localSheetId="1" hidden="1">'Fertilizer Optimization'!$O$30:$R$35</definedName>
    <definedName name="solver_lhs6" localSheetId="1" hidden="1">'Fertilizer Optimization'!$O$30:$R$35</definedName>
    <definedName name="solver_lhs7" localSheetId="1" hidden="1">'Fertilizer Optimization'!$T$74:$V$74</definedName>
    <definedName name="solver_lhs8" localSheetId="1" hidden="1">'Fertilizer Optimization'!$U$50</definedName>
    <definedName name="solver_lhs9" localSheetId="1" hidden="1">'Fertilizer Optimization'!$O$32:$R$38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'Fertilizer Optimization'!$V$76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10" localSheetId="1" hidden="1">1</definedName>
    <definedName name="solver_rel11" localSheetId="1" hidden="1">3</definedName>
    <definedName name="solver_rel12" localSheetId="1" hidden="1">1</definedName>
    <definedName name="solver_rel13" localSheetId="1" hidden="1">3</definedName>
    <definedName name="solver_rel14" localSheetId="1" hidden="1">1</definedName>
    <definedName name="solver_rel15" localSheetId="1" hidden="1">3</definedName>
    <definedName name="solver_rel16" localSheetId="1" hidden="1">1</definedName>
    <definedName name="solver_rel17" localSheetId="1" hidden="1">3</definedName>
    <definedName name="solver_rel18" localSheetId="1" hidden="1">1</definedName>
    <definedName name="solver_rel19" localSheetId="1" hidden="1">3</definedName>
    <definedName name="solver_rel2" localSheetId="1" hidden="1">1</definedName>
    <definedName name="solver_rel20" localSheetId="1" hidden="1">1</definedName>
    <definedName name="solver_rel21" localSheetId="1" hidden="1">4</definedName>
    <definedName name="solver_rel22" localSheetId="1" hidden="1">4</definedName>
    <definedName name="solver_rel23" localSheetId="1" hidden="1">4</definedName>
    <definedName name="solver_rel24" localSheetId="1" hidden="1">4</definedName>
    <definedName name="solver_rel25" localSheetId="1" hidden="1">4</definedName>
    <definedName name="solver_rel26" localSheetId="1" hidden="1">1</definedName>
    <definedName name="solver_rel3" localSheetId="1" hidden="1">1</definedName>
    <definedName name="solver_rel4" localSheetId="1" hidden="1">1</definedName>
    <definedName name="solver_rel5" localSheetId="1" hidden="1">3</definedName>
    <definedName name="solver_rel6" localSheetId="1" hidden="1">1</definedName>
    <definedName name="solver_rel7" localSheetId="1" hidden="1">3</definedName>
    <definedName name="solver_rel8" localSheetId="1" hidden="1">1</definedName>
    <definedName name="solver_rel9" localSheetId="1" hidden="1">3</definedName>
    <definedName name="solver_rhs1" localSheetId="1" hidden="1">'Fertilizer Optimization'!$O$18:$S$23</definedName>
    <definedName name="solver_rhs10" localSheetId="1" hidden="1">'Fertilizer Optimization'!$T$18:$W$23</definedName>
    <definedName name="solver_rhs11" localSheetId="1" hidden="1">0</definedName>
    <definedName name="solver_rhs12" localSheetId="1" hidden="1">'Fertilizer Optimization'!$U$52</definedName>
    <definedName name="solver_rhs13" localSheetId="1" hidden="1">'Fertilizer Optimization'!$O$18:$R$23</definedName>
    <definedName name="solver_rhs14" localSheetId="1" hidden="1">'Fertilizer Optimization'!$T$18:$W$23</definedName>
    <definedName name="solver_rhs15" localSheetId="1" hidden="1">0</definedName>
    <definedName name="solver_rhs16" localSheetId="1" hidden="1">'Fertilizer Optimization'!$U$52</definedName>
    <definedName name="solver_rhs17" localSheetId="1" hidden="1">'Fertilizer Optimization'!$O$18:$R$23</definedName>
    <definedName name="solver_rhs18" localSheetId="1" hidden="1">'Fertilizer Optimization'!$T$18:$W$23</definedName>
    <definedName name="solver_rhs19" localSheetId="1" hidden="1">0</definedName>
    <definedName name="solver_rhs2" localSheetId="1" hidden="1">'Fertilizer Optimization'!$T$18:$X$23</definedName>
    <definedName name="solver_rhs20" localSheetId="1" hidden="1">'Fertilizer Optimization'!$U$52</definedName>
    <definedName name="solver_rhs21" localSheetId="1" hidden="1">integer</definedName>
    <definedName name="solver_rhs22" localSheetId="1" hidden="1">integer</definedName>
    <definedName name="solver_rhs23" localSheetId="1" hidden="1">integer</definedName>
    <definedName name="solver_rhs24" localSheetId="1" hidden="1">integer</definedName>
    <definedName name="solver_rhs25" localSheetId="1" hidden="1">integer</definedName>
    <definedName name="solver_rhs26" localSheetId="1" hidden="1">'Fertilizer Optimization'!#REF!</definedName>
    <definedName name="solver_rhs3" localSheetId="1" hidden="1">'Fertilizer Optimization'!$Y$18:$AA$23</definedName>
    <definedName name="solver_rhs4" localSheetId="1" hidden="1">'Fertilizer Optimization'!$U$52</definedName>
    <definedName name="solver_rhs5" localSheetId="1" hidden="1">'Fertilizer Optimization'!$O$16:$R$21</definedName>
    <definedName name="solver_rhs6" localSheetId="1" hidden="1">'Fertilizer Optimization'!$S$16:$V$21</definedName>
    <definedName name="solver_rhs7" localSheetId="1" hidden="1">0</definedName>
    <definedName name="solver_rhs8" localSheetId="1" hidden="1">'Fertilizer Optimization'!#REF!</definedName>
    <definedName name="solver_rhs9" localSheetId="1" hidden="1">'Fertilizer Optimization'!$O$18:$R$23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S13" i="2" l="1"/>
  <c r="S12" i="2"/>
  <c r="S11" i="2"/>
  <c r="S10" i="2"/>
  <c r="S9" i="2"/>
  <c r="R9" i="2"/>
  <c r="R12" i="2"/>
  <c r="R13" i="2"/>
  <c r="R11" i="2"/>
  <c r="R10" i="2"/>
  <c r="Q9" i="2"/>
  <c r="T20" i="2" l="1"/>
  <c r="Q10" i="2" l="1"/>
  <c r="Q11" i="2"/>
  <c r="Q12" i="2"/>
  <c r="Q13" i="2"/>
  <c r="P60" i="2" l="1"/>
  <c r="P61" i="2"/>
  <c r="G44" i="2"/>
  <c r="C44" i="2"/>
  <c r="O38" i="2"/>
  <c r="P38" i="2"/>
  <c r="S38" i="2"/>
  <c r="T18" i="2"/>
  <c r="U19" i="2"/>
  <c r="F44" i="2"/>
  <c r="E44" i="2"/>
  <c r="D44" i="2"/>
  <c r="X23" i="2"/>
  <c r="X22" i="2"/>
  <c r="X21" i="2"/>
  <c r="X20" i="2"/>
  <c r="X19" i="2"/>
  <c r="X18" i="2"/>
  <c r="W22" i="2"/>
  <c r="V18" i="2"/>
  <c r="V21" i="2"/>
  <c r="V20" i="2"/>
  <c r="V19" i="2"/>
  <c r="U23" i="2"/>
  <c r="U22" i="2"/>
  <c r="U21" i="2"/>
  <c r="U20" i="2"/>
  <c r="U18" i="2"/>
  <c r="W23" i="2"/>
  <c r="T19" i="2"/>
  <c r="T21" i="2"/>
  <c r="G49" i="2"/>
  <c r="G45" i="2"/>
  <c r="G46" i="2"/>
  <c r="G47" i="2"/>
  <c r="G48" i="2"/>
  <c r="G43" i="2"/>
  <c r="C49" i="2"/>
  <c r="C22" i="2"/>
  <c r="P71" i="2" l="1"/>
  <c r="P70" i="2"/>
  <c r="P69" i="2"/>
  <c r="P68" i="2"/>
  <c r="Q38" i="2"/>
  <c r="R38" i="2"/>
  <c r="C12" i="2" l="1"/>
  <c r="M36" i="2"/>
  <c r="M35" i="2"/>
  <c r="M34" i="2"/>
  <c r="M33" i="2"/>
  <c r="M32" i="2"/>
  <c r="T13" i="2"/>
  <c r="N13" i="2"/>
  <c r="P13" i="2" s="1"/>
  <c r="T9" i="2"/>
  <c r="O46" i="2" s="1"/>
  <c r="AA36" i="2" l="1"/>
  <c r="Z36" i="2"/>
  <c r="Y36" i="2"/>
  <c r="X36" i="2"/>
  <c r="W36" i="2"/>
  <c r="V36" i="2"/>
  <c r="U36" i="2"/>
  <c r="T36" i="2"/>
  <c r="Z35" i="2"/>
  <c r="X35" i="2"/>
  <c r="V35" i="2"/>
  <c r="T35" i="2"/>
  <c r="AA35" i="2"/>
  <c r="Y35" i="2"/>
  <c r="W35" i="2"/>
  <c r="U35" i="2"/>
  <c r="AA34" i="2"/>
  <c r="Z34" i="2"/>
  <c r="Y34" i="2"/>
  <c r="X34" i="2"/>
  <c r="W34" i="2"/>
  <c r="V34" i="2"/>
  <c r="U34" i="2"/>
  <c r="T34" i="2"/>
  <c r="AA33" i="2"/>
  <c r="Y33" i="2"/>
  <c r="W33" i="2"/>
  <c r="U33" i="2"/>
  <c r="Z33" i="2"/>
  <c r="X33" i="2"/>
  <c r="V33" i="2"/>
  <c r="T33" i="2"/>
  <c r="AA32" i="2"/>
  <c r="Z32" i="2"/>
  <c r="Y32" i="2"/>
  <c r="X32" i="2"/>
  <c r="W32" i="2"/>
  <c r="V32" i="2"/>
  <c r="U32" i="2"/>
  <c r="T32" i="2"/>
  <c r="O47" i="2"/>
  <c r="O48" i="2"/>
  <c r="O49" i="2"/>
  <c r="O50" i="2"/>
  <c r="O51" i="2"/>
  <c r="S46" i="2"/>
  <c r="S47" i="2"/>
  <c r="S48" i="2"/>
  <c r="S49" i="2"/>
  <c r="S50" i="2"/>
  <c r="S51" i="2"/>
  <c r="X17" i="2"/>
  <c r="S45" i="2"/>
  <c r="AA31" i="2"/>
  <c r="S31" i="2"/>
  <c r="Y31" i="2"/>
  <c r="Z31" i="2"/>
  <c r="S17" i="2"/>
  <c r="T10" i="2"/>
  <c r="P46" i="2" s="1"/>
  <c r="T11" i="2"/>
  <c r="T12" i="2"/>
  <c r="N33" i="2"/>
  <c r="N34" i="2"/>
  <c r="N35" i="2"/>
  <c r="N36" i="2"/>
  <c r="N37" i="2"/>
  <c r="N32" i="2"/>
  <c r="U52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C45" i="2"/>
  <c r="C46" i="2"/>
  <c r="C47" i="2"/>
  <c r="C48" i="2"/>
  <c r="O52" i="2" l="1"/>
  <c r="S52" i="2"/>
  <c r="R47" i="2"/>
  <c r="R48" i="2"/>
  <c r="R49" i="2"/>
  <c r="R50" i="2"/>
  <c r="R51" i="2"/>
  <c r="R46" i="2"/>
  <c r="Q47" i="2"/>
  <c r="Q48" i="2"/>
  <c r="Q49" i="2"/>
  <c r="Q50" i="2"/>
  <c r="Q51" i="2"/>
  <c r="Q46" i="2"/>
  <c r="P47" i="2"/>
  <c r="P48" i="2"/>
  <c r="P49" i="2"/>
  <c r="P50" i="2"/>
  <c r="P51" i="2"/>
  <c r="P67" i="2"/>
  <c r="P66" i="2"/>
  <c r="P65" i="2"/>
  <c r="P64" i="2"/>
  <c r="T46" i="2" l="1"/>
  <c r="U60" i="2" s="1"/>
  <c r="T49" i="2"/>
  <c r="U66" i="2" s="1"/>
  <c r="T50" i="2"/>
  <c r="U68" i="2" s="1"/>
  <c r="T48" i="2"/>
  <c r="U64" i="2" s="1"/>
  <c r="T47" i="2"/>
  <c r="U62" i="2" s="1"/>
  <c r="Q52" i="2"/>
  <c r="P52" i="2"/>
  <c r="R52" i="2"/>
  <c r="M37" i="2"/>
  <c r="P62" i="2"/>
  <c r="P63" i="2"/>
  <c r="P39" i="2" l="1"/>
  <c r="D50" i="2" s="1"/>
  <c r="O39" i="2"/>
  <c r="C50" i="2" s="1"/>
  <c r="Q39" i="2"/>
  <c r="E50" i="2" s="1"/>
  <c r="R39" i="2"/>
  <c r="F50" i="2" s="1"/>
  <c r="S39" i="2"/>
  <c r="G50" i="2" s="1"/>
  <c r="AA37" i="2"/>
  <c r="Y37" i="2"/>
  <c r="Y38" i="2" s="1"/>
  <c r="W37" i="2"/>
  <c r="U37" i="2"/>
  <c r="Z37" i="2"/>
  <c r="X37" i="2"/>
  <c r="V37" i="2"/>
  <c r="T37" i="2"/>
  <c r="T38" i="2" s="1"/>
  <c r="T51" i="2"/>
  <c r="U70" i="2" s="1"/>
  <c r="U76" i="2" s="1"/>
  <c r="M38" i="2"/>
  <c r="AD36" i="2"/>
  <c r="AD35" i="2"/>
  <c r="AD34" i="2"/>
  <c r="AD33" i="2"/>
  <c r="AD32" i="2"/>
  <c r="AC32" i="2"/>
  <c r="AB32" i="2"/>
  <c r="T52" i="2" l="1"/>
  <c r="Q60" i="2"/>
  <c r="R60" i="2" s="1"/>
  <c r="S60" i="2" s="1"/>
  <c r="W61" i="2"/>
  <c r="Q61" i="2" s="1"/>
  <c r="R61" i="2" s="1"/>
  <c r="AA38" i="2"/>
  <c r="Z38" i="2"/>
  <c r="AB35" i="2"/>
  <c r="Q66" i="2" s="1"/>
  <c r="R66" i="2" s="1"/>
  <c r="AB36" i="2"/>
  <c r="AB33" i="2"/>
  <c r="Q62" i="2" s="1"/>
  <c r="R62" i="2" s="1"/>
  <c r="AB34" i="2"/>
  <c r="Q64" i="2" s="1"/>
  <c r="R64" i="2" s="1"/>
  <c r="AC36" i="2"/>
  <c r="AC34" i="2"/>
  <c r="AD37" i="2"/>
  <c r="AB37" i="2"/>
  <c r="AC33" i="2"/>
  <c r="AC37" i="2"/>
  <c r="AC35" i="2"/>
  <c r="V38" i="2"/>
  <c r="U38" i="2"/>
  <c r="X38" i="2"/>
  <c r="W38" i="2"/>
  <c r="Y60" i="2" l="1"/>
  <c r="C54" i="2" s="1"/>
  <c r="Q70" i="2"/>
  <c r="R70" i="2" s="1"/>
  <c r="X71" i="2"/>
  <c r="Q71" i="2" s="1"/>
  <c r="R71" i="2" s="1"/>
  <c r="S71" i="2" s="1"/>
  <c r="Q68" i="2"/>
  <c r="R68" i="2" s="1"/>
  <c r="X69" i="2"/>
  <c r="Q69" i="2" s="1"/>
  <c r="R69" i="2" s="1"/>
  <c r="S69" i="2" s="1"/>
  <c r="S64" i="2"/>
  <c r="AD38" i="2"/>
  <c r="S61" i="2"/>
  <c r="AB38" i="2"/>
  <c r="AC38" i="2"/>
  <c r="W63" i="2"/>
  <c r="W65" i="2"/>
  <c r="W67" i="2"/>
  <c r="S62" i="2"/>
  <c r="S66" i="2"/>
  <c r="Y70" i="2" l="1"/>
  <c r="C59" i="2" s="1"/>
  <c r="S68" i="2"/>
  <c r="T68" i="2" s="1"/>
  <c r="V68" i="2" s="1"/>
  <c r="Z68" i="2" s="1"/>
  <c r="D58" i="2" s="1"/>
  <c r="Y68" i="2"/>
  <c r="C58" i="2" s="1"/>
  <c r="S70" i="2"/>
  <c r="T60" i="2"/>
  <c r="V60" i="2" s="1"/>
  <c r="Q67" i="2"/>
  <c r="R67" i="2" s="1"/>
  <c r="Y66" i="2" s="1"/>
  <c r="C57" i="2" s="1"/>
  <c r="Q65" i="2"/>
  <c r="R65" i="2" s="1"/>
  <c r="Y64" i="2" s="1"/>
  <c r="C56" i="2" s="1"/>
  <c r="Q63" i="2"/>
  <c r="R63" i="2" s="1"/>
  <c r="Y62" i="2" s="1"/>
  <c r="C55" i="2" s="1"/>
  <c r="Z60" i="2" l="1"/>
  <c r="D54" i="2" s="1"/>
  <c r="T70" i="2"/>
  <c r="V70" i="2" s="1"/>
  <c r="Z70" i="2" s="1"/>
  <c r="D59" i="2" s="1"/>
  <c r="S67" i="2"/>
  <c r="S65" i="2"/>
  <c r="T64" i="2" s="1"/>
  <c r="V64" i="2" s="1"/>
  <c r="Z64" i="2" s="1"/>
  <c r="D56" i="2" s="1"/>
  <c r="S63" i="2"/>
  <c r="T62" i="2" s="1"/>
  <c r="V62" i="2" s="1"/>
  <c r="Z62" i="2" s="1"/>
  <c r="D55" i="2" s="1"/>
  <c r="T66" i="2" l="1"/>
  <c r="V66" i="2" s="1"/>
  <c r="V76" i="2" l="1"/>
  <c r="C62" i="2" s="1"/>
  <c r="Z66" i="2"/>
  <c r="D57" i="2" s="1"/>
  <c r="T76" i="2"/>
</calcChain>
</file>

<file path=xl/comments1.xml><?xml version="1.0" encoding="utf-8"?>
<comments xmlns="http://schemas.openxmlformats.org/spreadsheetml/2006/main">
  <authors>
    <author>s-jjansen7</author>
  </authors>
  <commentList>
    <comment ref="C15" authorId="0" shapeId="0">
      <text>
        <r>
          <rPr>
            <b/>
            <sz val="12"/>
            <color indexed="81"/>
            <rFont val="Tahoma"/>
            <family val="2"/>
          </rPr>
          <t xml:space="preserve">* </t>
        </r>
        <r>
          <rPr>
            <sz val="12"/>
            <color indexed="81"/>
            <rFont val="Tahoma"/>
            <family val="2"/>
          </rPr>
          <t>Enter zero for any crops not being planted.</t>
        </r>
      </text>
    </comment>
    <comment ref="D15" authorId="0" shapeId="0">
      <text>
        <r>
          <rPr>
            <b/>
            <sz val="12"/>
            <color indexed="81"/>
            <rFont val="Tahoma"/>
            <family val="2"/>
          </rPr>
          <t xml:space="preserve">† </t>
        </r>
        <r>
          <rPr>
            <sz val="12"/>
            <color indexed="81"/>
            <rFont val="Tahoma"/>
            <family val="2"/>
          </rPr>
          <t>Actual selling price (value of crops not sold) minus costs of harvest, storage, transportation and marketing.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12"/>
            <color indexed="81"/>
            <rFont val="Tahoma"/>
            <family val="2"/>
          </rPr>
          <t xml:space="preserve">¶ </t>
        </r>
        <r>
          <rPr>
            <sz val="12"/>
            <color indexed="81"/>
            <rFont val="Tahoma"/>
            <family val="2"/>
          </rPr>
          <t>Enter the total price of the fertilizer product in a 50 kg bag including  procurement costs.</t>
        </r>
        <r>
          <rPr>
            <b/>
            <sz val="12"/>
            <color indexed="81"/>
            <rFont val="Tahoma"/>
            <family val="2"/>
          </rPr>
          <t xml:space="preserve">
* </t>
        </r>
        <r>
          <rPr>
            <sz val="12"/>
            <color indexed="81"/>
            <rFont val="Tahoma"/>
            <family val="2"/>
          </rPr>
          <t>Enter zero for any fertilize product not being used.</t>
        </r>
      </text>
    </comment>
  </commentList>
</comments>
</file>

<file path=xl/sharedStrings.xml><?xml version="1.0" encoding="utf-8"?>
<sst xmlns="http://schemas.openxmlformats.org/spreadsheetml/2006/main" count="186" uniqueCount="133">
  <si>
    <t>Sorghum</t>
  </si>
  <si>
    <t>Soybeans</t>
  </si>
  <si>
    <t>Beans</t>
  </si>
  <si>
    <t>Maize</t>
  </si>
  <si>
    <t>Functions</t>
  </si>
  <si>
    <t>Net Return</t>
  </si>
  <si>
    <t>Fert Costs</t>
  </si>
  <si>
    <t>Value/kg</t>
  </si>
  <si>
    <t>Crop Selection and Prices</t>
  </si>
  <si>
    <t>Crop</t>
  </si>
  <si>
    <t>Area Planted 
(Ha)*</t>
  </si>
  <si>
    <t>Fertilizer Selection and Prices</t>
  </si>
  <si>
    <t>Fertilizer Product</t>
  </si>
  <si>
    <t>Urea</t>
  </si>
  <si>
    <t>Budget Constraint</t>
  </si>
  <si>
    <t>Amount available to invest in fertilizer</t>
  </si>
  <si>
    <t>TSP</t>
  </si>
  <si>
    <t>DAP</t>
  </si>
  <si>
    <t>KCL</t>
  </si>
  <si>
    <t>Triple Super Phosphate</t>
  </si>
  <si>
    <t>Diammonium Phosphate</t>
  </si>
  <si>
    <t>Murate of Potash</t>
  </si>
  <si>
    <t>Fertilizer</t>
  </si>
  <si>
    <t>Nitrogen</t>
  </si>
  <si>
    <t>Potassium</t>
  </si>
  <si>
    <t>Phosphorous</t>
  </si>
  <si>
    <t>KCl</t>
  </si>
  <si>
    <t>Ha Planted</t>
  </si>
  <si>
    <t>Urea Min</t>
  </si>
  <si>
    <t>TSP Min</t>
  </si>
  <si>
    <t>DAP Min</t>
  </si>
  <si>
    <t>KCl Min</t>
  </si>
  <si>
    <t>Urea Max</t>
  </si>
  <si>
    <t>TSP Max</t>
  </si>
  <si>
    <t>DAP Max</t>
  </si>
  <si>
    <t>KCl Max</t>
  </si>
  <si>
    <t xml:space="preserve">Fertilizer Constraints </t>
  </si>
  <si>
    <t>Fertilizer Units Applied/Ha</t>
  </si>
  <si>
    <t>Area Planted and Price</t>
  </si>
  <si>
    <t>Sum</t>
  </si>
  <si>
    <t>Price/kg</t>
  </si>
  <si>
    <t>Urea kg (N)</t>
  </si>
  <si>
    <t>TSP kg (P)</t>
  </si>
  <si>
    <t>DAP kg (N)</t>
  </si>
  <si>
    <t>DAP kg (P)</t>
  </si>
  <si>
    <t>KCl kg (K)</t>
  </si>
  <si>
    <t>Individual Net Value</t>
  </si>
  <si>
    <t>Net Value per Fertilizer</t>
  </si>
  <si>
    <t>Application Rate - kg/Ha</t>
  </si>
  <si>
    <t>Net Returns</t>
  </si>
  <si>
    <t>Base Production</t>
  </si>
  <si>
    <t>Returns and Expenses</t>
  </si>
  <si>
    <t>Expected Yield Kg</t>
  </si>
  <si>
    <t>Crop and Yield Responses</t>
  </si>
  <si>
    <t xml:space="preserve">Fertilizer Cost </t>
  </si>
  <si>
    <t xml:space="preserve">Urea </t>
  </si>
  <si>
    <t xml:space="preserve">TSP </t>
  </si>
  <si>
    <t xml:space="preserve">DAP </t>
  </si>
  <si>
    <t xml:space="preserve">KCl </t>
  </si>
  <si>
    <t>Accumulated Sums</t>
  </si>
  <si>
    <t xml:space="preserve"> Net Value</t>
  </si>
  <si>
    <t xml:space="preserve"> Fertilizer Cost</t>
  </si>
  <si>
    <t xml:space="preserve"> Net Returns</t>
  </si>
  <si>
    <t xml:space="preserve">Urea kg </t>
  </si>
  <si>
    <t xml:space="preserve">Expected  Change </t>
  </si>
  <si>
    <t>Coefficient 1</t>
  </si>
  <si>
    <t>Coefficient 2</t>
  </si>
  <si>
    <t>Constant</t>
  </si>
  <si>
    <t>Abbreviation</t>
  </si>
  <si>
    <t>N Amt Req P</t>
  </si>
  <si>
    <t>P Amt Req K</t>
  </si>
  <si>
    <t>Price/50 kg bag ¶*</t>
  </si>
  <si>
    <t>N Sum</t>
  </si>
  <si>
    <t>P Sum</t>
  </si>
  <si>
    <t>Fertilizer Totals</t>
  </si>
  <si>
    <t>K Sum</t>
  </si>
  <si>
    <t>Fertilizer Application Rates</t>
  </si>
  <si>
    <t>Yield Increases</t>
  </si>
  <si>
    <t>1) Locate the Security Warning for the spreadsheet underneath the excel toolbar.</t>
  </si>
  <si>
    <t>2) Click on the options button near the security warning.</t>
  </si>
  <si>
    <t>3) After clicking options, the Security Alert - Macro will appear, next click Enable this content and select Ok.</t>
  </si>
  <si>
    <t>Fertilizer Optimization</t>
  </si>
  <si>
    <t>N</t>
  </si>
  <si>
    <t>Groundnuts, unshelled</t>
  </si>
  <si>
    <t>For information, contact: Dr. Kayuki C. Kaizzi, NARL-NARO, kckaizzi@gmail.com or karidir@infocom.co.ug or landuse@infocom.co.ug</t>
  </si>
  <si>
    <t>Upland rice, paddy</t>
  </si>
  <si>
    <t>Murate of potash, KCL</t>
  </si>
  <si>
    <t>Diammonium phosphate, DAP</t>
  </si>
  <si>
    <t>Triple super phosphate, TSP</t>
  </si>
  <si>
    <t>Acknowledgements: support of personnel from the Uganda Ministry of Agriculture, Animal Industry, and Fisheries; and funding support from the Alliance for a  Green Revolution in Africa--Soil Health Programme, INTSORMIL-USAID, and University of Nebraska-Lincoln.</t>
  </si>
  <si>
    <t>Total hectares</t>
  </si>
  <si>
    <t>P2O5</t>
  </si>
  <si>
    <t>K2O</t>
  </si>
  <si>
    <t>Ground nuts, unshelled</t>
  </si>
  <si>
    <t>Producer Name:</t>
  </si>
  <si>
    <t>Prepared By:</t>
  </si>
  <si>
    <t>Date Prepared:</t>
  </si>
  <si>
    <t>1) Click the Office 2007 round icon (or File in Office 2010) and select Excel Options.</t>
  </si>
  <si>
    <t>2) Select the Add-Ins Tab and select Go.</t>
  </si>
  <si>
    <t>Fertilizer Amount</t>
  </si>
  <si>
    <t xml:space="preserve">TSP kg </t>
  </si>
  <si>
    <t xml:space="preserve">DAP kg </t>
  </si>
  <si>
    <t xml:space="preserve">KCl kg </t>
  </si>
  <si>
    <t>xxx</t>
  </si>
  <si>
    <t>Steps required to enable macro features:</t>
  </si>
  <si>
    <t xml:space="preserve"> </t>
  </si>
  <si>
    <t xml:space="preserve">3) When the Add-Ins window appears, selected the Solver Add-In checkbox and click ok. </t>
  </si>
  <si>
    <t>This excel workbook must have the macro features and Solver Add-Ins enabled  to function.</t>
  </si>
  <si>
    <t>Steps required to enable Solver Add-Inns:</t>
  </si>
  <si>
    <t>Fertilizer Total Maxes</t>
  </si>
  <si>
    <t>Maize N</t>
  </si>
  <si>
    <t xml:space="preserve">Sorghum N </t>
  </si>
  <si>
    <t>Sorghum P</t>
  </si>
  <si>
    <t>Upland Rice P</t>
  </si>
  <si>
    <t>Beans P</t>
  </si>
  <si>
    <t>Soybeans K</t>
  </si>
  <si>
    <t>Maize P</t>
  </si>
  <si>
    <t>Upland Rice N</t>
  </si>
  <si>
    <t xml:space="preserve">Beans N </t>
  </si>
  <si>
    <t xml:space="preserve">Soybeans P </t>
  </si>
  <si>
    <t>Groundnuts, unshelled P</t>
  </si>
  <si>
    <t>Groundnuts, unshelled K</t>
  </si>
  <si>
    <t>Fertilizer Cost/Crop</t>
  </si>
  <si>
    <t>%</t>
  </si>
  <si>
    <t>Total net returns to investment in fertilizer</t>
  </si>
  <si>
    <t>Total Expected Net Returns to Fertilizer</t>
  </si>
  <si>
    <t>Expected 
Grain Value/kg †</t>
  </si>
  <si>
    <t>Expected Average Effects per Ha</t>
  </si>
  <si>
    <t>Total fertilizer needed</t>
  </si>
  <si>
    <t>Fertilizer Requirements</t>
  </si>
  <si>
    <t>Output Variable - kg/Ha</t>
  </si>
  <si>
    <t>Credits: Kayuki C. Kaizzi et al. of the National Agricultural Research Laboratories-Kawanda, National Agricultural Research Organization and Makerere University; and Charles Wortmann, Jim Jansen, and Matthew Stockton, University of Nebraska-Lincoln</t>
  </si>
  <si>
    <t>© 2013, The Board of Regents of the University of Nebraska.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</si>
</sst>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£-452]#,##0.00"/>
    <numFmt numFmtId="165" formatCode="0.0%"/>
    <numFmt numFmtId="166" formatCode="0.0"/>
    <numFmt numFmtId="167" formatCode="[$-4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DDF456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F45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2" fillId="0" borderId="6" xfId="1" applyFont="1" applyBorder="1" applyAlignment="1"/>
    <xf numFmtId="0" fontId="2" fillId="0" borderId="7" xfId="1" applyFont="1" applyBorder="1" applyAlignment="1"/>
    <xf numFmtId="0" fontId="4" fillId="4" borderId="10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left"/>
    </xf>
    <xf numFmtId="0" fontId="5" fillId="4" borderId="8" xfId="1" applyFont="1" applyFill="1" applyBorder="1" applyAlignment="1">
      <alignment horizontal="left"/>
    </xf>
    <xf numFmtId="0" fontId="5" fillId="5" borderId="6" xfId="1" applyFont="1" applyFill="1" applyBorder="1" applyAlignment="1">
      <alignment horizontal="left"/>
    </xf>
    <xf numFmtId="1" fontId="5" fillId="5" borderId="2" xfId="1" applyNumberFormat="1" applyFont="1" applyFill="1" applyBorder="1" applyAlignment="1">
      <alignment horizontal="center"/>
    </xf>
    <xf numFmtId="0" fontId="5" fillId="5" borderId="8" xfId="1" applyFont="1" applyFill="1" applyBorder="1" applyAlignment="1">
      <alignment horizontal="left"/>
    </xf>
    <xf numFmtId="1" fontId="5" fillId="5" borderId="3" xfId="1" applyNumberFormat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3" fontId="5" fillId="5" borderId="7" xfId="1" applyNumberFormat="1" applyFont="1" applyFill="1" applyBorder="1" applyAlignment="1">
      <alignment horizontal="center"/>
    </xf>
    <xf numFmtId="3" fontId="5" fillId="5" borderId="3" xfId="1" applyNumberFormat="1" applyFont="1" applyFill="1" applyBorder="1" applyAlignment="1">
      <alignment horizontal="center"/>
    </xf>
    <xf numFmtId="3" fontId="5" fillId="5" borderId="9" xfId="1" applyNumberFormat="1" applyFont="1" applyFill="1" applyBorder="1" applyAlignment="1">
      <alignment horizontal="center"/>
    </xf>
    <xf numFmtId="0" fontId="5" fillId="4" borderId="8" xfId="1" applyFont="1" applyFill="1" applyBorder="1" applyAlignment="1">
      <alignment wrapText="1"/>
    </xf>
    <xf numFmtId="0" fontId="5" fillId="5" borderId="8" xfId="1" applyFont="1" applyFill="1" applyBorder="1" applyAlignment="1">
      <alignment wrapText="1"/>
    </xf>
    <xf numFmtId="0" fontId="3" fillId="6" borderId="0" xfId="1" applyFont="1" applyFill="1" applyBorder="1" applyAlignment="1"/>
    <xf numFmtId="0" fontId="6" fillId="6" borderId="0" xfId="0" applyFont="1" applyFill="1"/>
    <xf numFmtId="0" fontId="5" fillId="6" borderId="0" xfId="1" applyFont="1" applyFill="1"/>
    <xf numFmtId="0" fontId="5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center"/>
    </xf>
    <xf numFmtId="0" fontId="2" fillId="6" borderId="0" xfId="1" applyFont="1" applyFill="1" applyBorder="1"/>
    <xf numFmtId="0" fontId="5" fillId="4" borderId="4" xfId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/>
    </xf>
    <xf numFmtId="0" fontId="2" fillId="0" borderId="4" xfId="1" applyFont="1" applyBorder="1" applyAlignment="1"/>
    <xf numFmtId="0" fontId="2" fillId="0" borderId="5" xfId="1" applyFont="1" applyBorder="1" applyAlignment="1"/>
    <xf numFmtId="0" fontId="2" fillId="0" borderId="7" xfId="1" applyFont="1" applyBorder="1" applyAlignment="1">
      <alignment horizontal="left" vertical="center"/>
    </xf>
    <xf numFmtId="0" fontId="5" fillId="6" borderId="0" xfId="1" applyFont="1" applyFill="1" applyBorder="1"/>
    <xf numFmtId="0" fontId="4" fillId="5" borderId="8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left" wrapText="1"/>
    </xf>
    <xf numFmtId="0" fontId="12" fillId="6" borderId="0" xfId="0" applyFont="1" applyFill="1"/>
    <xf numFmtId="9" fontId="5" fillId="0" borderId="1" xfId="4" applyFont="1" applyBorder="1" applyAlignment="1" applyProtection="1">
      <alignment horizontal="center"/>
      <protection locked="0"/>
    </xf>
    <xf numFmtId="9" fontId="5" fillId="0" borderId="1" xfId="4" applyFont="1" applyFill="1" applyBorder="1" applyAlignment="1" applyProtection="1">
      <alignment horizontal="center"/>
      <protection locked="0"/>
    </xf>
    <xf numFmtId="9" fontId="5" fillId="0" borderId="2" xfId="4" applyFont="1" applyBorder="1" applyAlignment="1" applyProtection="1">
      <alignment horizontal="center"/>
      <protection locked="0"/>
    </xf>
    <xf numFmtId="9" fontId="5" fillId="0" borderId="2" xfId="4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left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6" borderId="0" xfId="1" applyFont="1" applyFill="1" applyBorder="1" applyAlignment="1">
      <alignment horizontal="left" vertical="top" wrapText="1"/>
    </xf>
    <xf numFmtId="0" fontId="4" fillId="5" borderId="8" xfId="1" applyFont="1" applyFill="1" applyBorder="1" applyAlignment="1">
      <alignment horizontal="left"/>
    </xf>
    <xf numFmtId="0" fontId="4" fillId="5" borderId="10" xfId="1" applyFont="1" applyFill="1" applyBorder="1" applyAlignment="1">
      <alignment horizontal="center"/>
    </xf>
    <xf numFmtId="1" fontId="4" fillId="5" borderId="3" xfId="1" applyNumberFormat="1" applyFont="1" applyFill="1" applyBorder="1" applyAlignment="1">
      <alignment horizontal="center"/>
    </xf>
    <xf numFmtId="0" fontId="4" fillId="4" borderId="10" xfId="1" applyFont="1" applyFill="1" applyBorder="1" applyAlignment="1">
      <alignment horizontal="left"/>
    </xf>
    <xf numFmtId="0" fontId="4" fillId="5" borderId="11" xfId="1" applyFont="1" applyFill="1" applyBorder="1" applyAlignment="1">
      <alignment horizontal="left" vertical="center"/>
    </xf>
    <xf numFmtId="0" fontId="4" fillId="4" borderId="4" xfId="1" applyFont="1" applyFill="1" applyBorder="1" applyAlignment="1">
      <alignment horizontal="left" vertical="center"/>
    </xf>
    <xf numFmtId="0" fontId="4" fillId="4" borderId="11" xfId="1" applyFont="1" applyFill="1" applyBorder="1" applyAlignment="1">
      <alignment horizontal="left" vertical="center"/>
    </xf>
    <xf numFmtId="0" fontId="4" fillId="5" borderId="10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9" fontId="5" fillId="0" borderId="3" xfId="4" applyFont="1" applyFill="1" applyBorder="1" applyAlignment="1" applyProtection="1">
      <alignment horizontal="center"/>
      <protection locked="0"/>
    </xf>
    <xf numFmtId="0" fontId="14" fillId="6" borderId="0" xfId="0" applyFont="1" applyFill="1"/>
    <xf numFmtId="0" fontId="14" fillId="0" borderId="0" xfId="0" applyFont="1"/>
    <xf numFmtId="0" fontId="14" fillId="0" borderId="4" xfId="0" applyFont="1" applyBorder="1"/>
    <xf numFmtId="0" fontId="14" fillId="0" borderId="5" xfId="0" applyFont="1" applyBorder="1"/>
    <xf numFmtId="0" fontId="14" fillId="0" borderId="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165" fontId="14" fillId="0" borderId="4" xfId="4" applyNumberFormat="1" applyFont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right"/>
    </xf>
    <xf numFmtId="0" fontId="14" fillId="0" borderId="6" xfId="0" applyFont="1" applyBorder="1" applyAlignment="1">
      <alignment horizontal="center"/>
    </xf>
    <xf numFmtId="165" fontId="14" fillId="0" borderId="6" xfId="4" applyNumberFormat="1" applyFont="1" applyBorder="1" applyAlignment="1">
      <alignment horizontal="center"/>
    </xf>
    <xf numFmtId="165" fontId="14" fillId="0" borderId="0" xfId="4" applyNumberFormat="1" applyFont="1" applyBorder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0" fontId="2" fillId="6" borderId="0" xfId="1" applyFont="1" applyFill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6" borderId="0" xfId="1" applyFont="1" applyFill="1"/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Border="1"/>
    <xf numFmtId="0" fontId="14" fillId="0" borderId="9" xfId="0" applyFont="1" applyBorder="1"/>
    <xf numFmtId="0" fontId="14" fillId="0" borderId="8" xfId="0" applyFont="1" applyBorder="1" applyAlignment="1">
      <alignment horizontal="center"/>
    </xf>
    <xf numFmtId="165" fontId="14" fillId="0" borderId="8" xfId="4" applyNumberFormat="1" applyFont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6" xfId="0" applyFont="1" applyBorder="1"/>
    <xf numFmtId="2" fontId="14" fillId="0" borderId="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7" xfId="0" applyNumberFormat="1" applyFont="1" applyFill="1" applyBorder="1" applyAlignment="1">
      <alignment horizontal="center"/>
    </xf>
    <xf numFmtId="0" fontId="14" fillId="6" borderId="0" xfId="0" applyFont="1" applyFill="1" applyBorder="1"/>
    <xf numFmtId="0" fontId="14" fillId="0" borderId="0" xfId="0" applyFont="1" applyBorder="1" applyAlignment="1"/>
    <xf numFmtId="0" fontId="9" fillId="4" borderId="13" xfId="0" applyFont="1" applyFill="1" applyBorder="1" applyAlignment="1">
      <alignment horizontal="center"/>
    </xf>
    <xf numFmtId="0" fontId="15" fillId="6" borderId="0" xfId="0" applyFont="1" applyFill="1" applyBorder="1"/>
    <xf numFmtId="2" fontId="14" fillId="0" borderId="8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1" fontId="14" fillId="0" borderId="8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" xfId="0" applyFont="1" applyBorder="1"/>
    <xf numFmtId="166" fontId="14" fillId="0" borderId="6" xfId="0" applyNumberFormat="1" applyFont="1" applyFill="1" applyBorder="1" applyAlignment="1" applyProtection="1">
      <alignment horizontal="center"/>
      <protection locked="0"/>
    </xf>
    <xf numFmtId="166" fontId="14" fillId="0" borderId="0" xfId="0" applyNumberFormat="1" applyFont="1" applyFill="1" applyBorder="1" applyAlignment="1" applyProtection="1">
      <alignment horizontal="center"/>
      <protection locked="0"/>
    </xf>
    <xf numFmtId="166" fontId="14" fillId="2" borderId="0" xfId="0" applyNumberFormat="1" applyFont="1" applyFill="1" applyBorder="1" applyAlignment="1" applyProtection="1">
      <alignment horizontal="center"/>
      <protection locked="0"/>
    </xf>
    <xf numFmtId="166" fontId="14" fillId="0" borderId="0" xfId="0" applyNumberFormat="1" applyFont="1" applyBorder="1" applyAlignment="1" applyProtection="1">
      <alignment horizontal="center"/>
      <protection locked="0"/>
    </xf>
    <xf numFmtId="1" fontId="14" fillId="0" borderId="6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166" fontId="14" fillId="0" borderId="6" xfId="0" applyNumberFormat="1" applyFont="1" applyFill="1" applyBorder="1" applyAlignment="1" applyProtection="1">
      <alignment horizontal="center" vertical="center"/>
      <protection locked="0"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166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6" borderId="0" xfId="0" applyFont="1" applyFill="1"/>
    <xf numFmtId="166" fontId="14" fillId="2" borderId="6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11" xfId="0" applyFont="1" applyBorder="1"/>
    <xf numFmtId="2" fontId="14" fillId="0" borderId="11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/>
    <xf numFmtId="3" fontId="14" fillId="0" borderId="11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2" fontId="2" fillId="6" borderId="0" xfId="1" applyNumberFormat="1" applyFont="1" applyFill="1" applyBorder="1" applyAlignment="1">
      <alignment horizontal="center"/>
    </xf>
    <xf numFmtId="166" fontId="14" fillId="0" borderId="0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14" xfId="0" applyFont="1" applyBorder="1" applyAlignment="1"/>
    <xf numFmtId="0" fontId="14" fillId="0" borderId="7" xfId="0" applyFont="1" applyFill="1" applyBorder="1" applyAlignment="1">
      <alignment horizontal="center"/>
    </xf>
    <xf numFmtId="3" fontId="2" fillId="6" borderId="0" xfId="1" applyNumberFormat="1" applyFont="1" applyFill="1" applyBorder="1" applyAlignment="1">
      <alignment horizontal="center"/>
    </xf>
    <xf numFmtId="0" fontId="14" fillId="0" borderId="4" xfId="0" applyFont="1" applyFill="1" applyBorder="1"/>
    <xf numFmtId="0" fontId="17" fillId="0" borderId="4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166" fontId="14" fillId="0" borderId="4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3" fontId="14" fillId="0" borderId="5" xfId="0" quotePrefix="1" applyNumberFormat="1" applyFont="1" applyBorder="1" applyAlignment="1">
      <alignment horizontal="center"/>
    </xf>
    <xf numFmtId="0" fontId="14" fillId="0" borderId="8" xfId="0" applyFont="1" applyFill="1" applyBorder="1" applyAlignment="1"/>
    <xf numFmtId="0" fontId="17" fillId="0" borderId="8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/>
    </xf>
    <xf numFmtId="166" fontId="14" fillId="0" borderId="9" xfId="0" applyNumberFormat="1" applyFont="1" applyFill="1" applyBorder="1" applyAlignment="1">
      <alignment horizontal="center"/>
    </xf>
    <xf numFmtId="166" fontId="14" fillId="0" borderId="8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/>
    </xf>
    <xf numFmtId="164" fontId="2" fillId="6" borderId="0" xfId="1" applyNumberFormat="1" applyFont="1" applyFill="1" applyBorder="1"/>
    <xf numFmtId="0" fontId="14" fillId="0" borderId="15" xfId="0" applyFont="1" applyFill="1" applyBorder="1" applyAlignment="1">
      <alignment horizontal="center" vertical="center"/>
    </xf>
    <xf numFmtId="3" fontId="14" fillId="0" borderId="9" xfId="0" quotePrefix="1" applyNumberFormat="1" applyFont="1" applyBorder="1" applyAlignment="1">
      <alignment horizontal="center"/>
    </xf>
    <xf numFmtId="0" fontId="14" fillId="0" borderId="4" xfId="0" applyFont="1" applyFill="1" applyBorder="1" applyAlignment="1">
      <alignment vertical="center"/>
    </xf>
    <xf numFmtId="0" fontId="14" fillId="0" borderId="8" xfId="0" applyFont="1" applyFill="1" applyBorder="1"/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6" xfId="0" applyFont="1" applyFill="1" applyBorder="1"/>
    <xf numFmtId="0" fontId="17" fillId="0" borderId="6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3" fontId="14" fillId="0" borderId="6" xfId="0" applyNumberFormat="1" applyFont="1" applyFill="1" applyBorder="1" applyAlignment="1">
      <alignment horizontal="center"/>
    </xf>
    <xf numFmtId="166" fontId="14" fillId="0" borderId="6" xfId="0" applyNumberFormat="1" applyFont="1" applyFill="1" applyBorder="1" applyAlignment="1">
      <alignment horizontal="center"/>
    </xf>
    <xf numFmtId="166" fontId="14" fillId="0" borderId="7" xfId="0" applyNumberFormat="1" applyFont="1" applyFill="1" applyBorder="1" applyAlignment="1">
      <alignment horizontal="center"/>
    </xf>
    <xf numFmtId="3" fontId="14" fillId="0" borderId="5" xfId="0" quotePrefix="1" applyNumberFormat="1" applyFont="1" applyFill="1" applyBorder="1" applyAlignment="1">
      <alignment horizontal="center"/>
    </xf>
    <xf numFmtId="0" fontId="14" fillId="0" borderId="15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 applyAlignment="1"/>
    <xf numFmtId="166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44" fontId="14" fillId="0" borderId="0" xfId="0" applyNumberFormat="1" applyFont="1"/>
    <xf numFmtId="0" fontId="5" fillId="0" borderId="1" xfId="1" applyFont="1" applyBorder="1" applyAlignment="1" applyProtection="1">
      <alignment horizontal="center"/>
      <protection locked="0"/>
    </xf>
    <xf numFmtId="0" fontId="5" fillId="0" borderId="10" xfId="1" applyFont="1" applyBorder="1" applyAlignment="1" applyProtection="1">
      <alignment horizontal="center"/>
      <protection locked="0"/>
    </xf>
    <xf numFmtId="165" fontId="14" fillId="0" borderId="14" xfId="4" applyNumberFormat="1" applyFont="1" applyFill="1" applyBorder="1" applyAlignment="1">
      <alignment horizontal="center"/>
    </xf>
    <xf numFmtId="165" fontId="14" fillId="0" borderId="5" xfId="4" applyNumberFormat="1" applyFont="1" applyFill="1" applyBorder="1" applyAlignment="1">
      <alignment horizontal="center"/>
    </xf>
    <xf numFmtId="165" fontId="14" fillId="0" borderId="0" xfId="4" applyNumberFormat="1" applyFont="1" applyFill="1" applyBorder="1" applyAlignment="1">
      <alignment horizontal="center"/>
    </xf>
    <xf numFmtId="165" fontId="14" fillId="0" borderId="7" xfId="4" applyNumberFormat="1" applyFont="1" applyFill="1" applyBorder="1" applyAlignment="1">
      <alignment horizontal="center"/>
    </xf>
    <xf numFmtId="165" fontId="14" fillId="0" borderId="15" xfId="4" applyNumberFormat="1" applyFont="1" applyFill="1" applyBorder="1" applyAlignment="1">
      <alignment horizontal="center"/>
    </xf>
    <xf numFmtId="165" fontId="14" fillId="0" borderId="9" xfId="4" applyNumberFormat="1" applyFont="1" applyFill="1" applyBorder="1" applyAlignment="1">
      <alignment horizontal="center"/>
    </xf>
    <xf numFmtId="0" fontId="8" fillId="6" borderId="0" xfId="1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center"/>
    </xf>
    <xf numFmtId="0" fontId="7" fillId="3" borderId="12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3" fontId="5" fillId="5" borderId="11" xfId="1" applyNumberFormat="1" applyFont="1" applyFill="1" applyBorder="1" applyAlignment="1">
      <alignment horizontal="center"/>
    </xf>
    <xf numFmtId="3" fontId="5" fillId="5" borderId="13" xfId="1" applyNumberFormat="1" applyFont="1" applyFill="1" applyBorder="1" applyAlignment="1">
      <alignment horizontal="center"/>
    </xf>
    <xf numFmtId="0" fontId="15" fillId="0" borderId="10" xfId="0" applyFont="1" applyBorder="1" applyAlignment="1" applyProtection="1">
      <alignment horizontal="center"/>
      <protection locked="0"/>
    </xf>
    <xf numFmtId="167" fontId="9" fillId="6" borderId="10" xfId="0" applyNumberFormat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5" fillId="6" borderId="0" xfId="1" applyFont="1" applyFill="1" applyBorder="1" applyAlignment="1">
      <alignment horizontal="left" vertical="top" wrapText="1"/>
    </xf>
  </cellXfs>
  <cellStyles count="5">
    <cellStyle name="Currency 2" xfId="2"/>
    <cellStyle name="Normal" xfId="0" builtinId="0"/>
    <cellStyle name="Normal 2" xfId="3"/>
    <cellStyle name="Normal 3" xfId="1"/>
    <cellStyle name="Percent" xfId="4" builtinId="5"/>
  </cellStyles>
  <dxfs count="0"/>
  <tableStyles count="0" defaultTableStyle="TableStyleMedium2" defaultPivotStyle="PivotStyleLight16"/>
  <colors>
    <mruColors>
      <color rgb="FFF00000"/>
      <color rgb="FFDDF456"/>
      <color rgb="FFAAD39F"/>
      <color rgb="FFDCF456"/>
      <color rgb="FFFF0000"/>
      <color rgb="FFCC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600563</xdr:colOff>
      <xdr:row>1</xdr:row>
      <xdr:rowOff>67237</xdr:rowOff>
    </xdr:from>
    <xdr:to>
      <xdr:col>8</xdr:col>
      <xdr:colOff>329340</xdr:colOff>
      <xdr:row>4</xdr:row>
      <xdr:rowOff>129429</xdr:rowOff>
    </xdr:to>
    <xdr:pic>
      <xdr:nvPicPr>
        <xdr:cNvPr id="7" name="Picture 6" descr="UNL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975" y="257737"/>
          <a:ext cx="1476895" cy="605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1694477</xdr:colOff>
      <xdr:row>0</xdr:row>
      <xdr:rowOff>0</xdr:rowOff>
    </xdr:from>
    <xdr:to>
      <xdr:col>2</xdr:col>
      <xdr:colOff>717176</xdr:colOff>
      <xdr:row>8</xdr:row>
      <xdr:rowOff>67235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477" y="0"/>
          <a:ext cx="1532817" cy="1815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649941</xdr:colOff>
      <xdr:row>6</xdr:row>
      <xdr:rowOff>11205</xdr:rowOff>
    </xdr:from>
    <xdr:to>
      <xdr:col>8</xdr:col>
      <xdr:colOff>100852</xdr:colOff>
      <xdr:row>11</xdr:row>
      <xdr:rowOff>119375</xdr:rowOff>
    </xdr:to>
    <xdr:pic>
      <xdr:nvPicPr>
        <xdr:cNvPr id="10" name="Picture 9" descr="C:\My Documents\martha\misc\LOGO301_INTSORMIL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53" y="1154205"/>
          <a:ext cx="1199029" cy="132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263499</xdr:colOff>
      <xdr:row>6</xdr:row>
      <xdr:rowOff>131269</xdr:rowOff>
    </xdr:from>
    <xdr:to>
      <xdr:col>5</xdr:col>
      <xdr:colOff>724506</xdr:colOff>
      <xdr:row>11</xdr:row>
      <xdr:rowOff>125267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1699" y="1241612"/>
          <a:ext cx="1404737" cy="1196869"/>
        </a:xfrm>
        <a:prstGeom prst="rect">
          <a:avLst/>
        </a:prstGeom>
      </xdr:spPr>
    </xdr:pic>
    <xdr:clientData/>
  </xdr:twoCellAnchor>
  <xdr:twoCellAnchor editAs="oneCell">
    <xdr:from>
      <xdr:col>3</xdr:col>
      <xdr:colOff>112059</xdr:colOff>
      <xdr:row>0</xdr:row>
      <xdr:rowOff>145676</xdr:rowOff>
    </xdr:from>
    <xdr:to>
      <xdr:col>5</xdr:col>
      <xdr:colOff>853688</xdr:colOff>
      <xdr:row>5</xdr:row>
      <xdr:rowOff>148476</xdr:rowOff>
    </xdr:to>
    <xdr:pic>
      <xdr:nvPicPr>
        <xdr:cNvPr id="12" name="Content Placeholder 3"/>
        <xdr:cNvPicPr>
          <a:picLocks noGrp="1"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853" y="145676"/>
          <a:ext cx="2657648" cy="907675"/>
        </a:xfrm>
        <a:prstGeom prst="rect">
          <a:avLst/>
        </a:prstGeom>
        <a:gradFill rotWithShape="1">
          <a:gsLst>
            <a:gs pos="0">
              <a:srgbClr val="FEE7F2"/>
            </a:gs>
            <a:gs pos="17999">
              <a:srgbClr val="FBEAC7"/>
            </a:gs>
            <a:gs pos="36000">
              <a:srgbClr val="FAC77D"/>
            </a:gs>
            <a:gs pos="61000">
              <a:srgbClr val="FBA97D"/>
            </a:gs>
            <a:gs pos="75000">
              <a:srgbClr val="FEE7F2"/>
            </a:gs>
            <a:gs pos="82001">
              <a:srgbClr val="FBD49C"/>
            </a:gs>
            <a:gs pos="100000">
              <a:srgbClr val="FBD49C"/>
            </a:gs>
          </a:gsLst>
          <a:lin ang="10800000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36</xdr:row>
          <xdr:rowOff>66675</xdr:rowOff>
        </xdr:from>
        <xdr:to>
          <xdr:col>1</xdr:col>
          <xdr:colOff>1323975</xdr:colOff>
          <xdr:row>38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</a:rPr>
                <a:t>Optimize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36</xdr:row>
          <xdr:rowOff>57150</xdr:rowOff>
        </xdr:from>
        <xdr:to>
          <xdr:col>3</xdr:col>
          <xdr:colOff>600075</xdr:colOff>
          <xdr:row>38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209550</xdr:colOff>
          <xdr:row>4</xdr:row>
          <xdr:rowOff>0</xdr:rowOff>
        </xdr:from>
        <xdr:to>
          <xdr:col>1</xdr:col>
          <xdr:colOff>1409700</xdr:colOff>
          <xdr:row>5</xdr:row>
          <xdr:rowOff>123825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</a:rPr>
                <a:t>Help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64</xdr:row>
          <xdr:rowOff>76200</xdr:rowOff>
        </xdr:from>
        <xdr:to>
          <xdr:col>1</xdr:col>
          <xdr:colOff>1323975</xdr:colOff>
          <xdr:row>65</xdr:row>
          <xdr:rowOff>171450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2</xdr:row>
          <xdr:rowOff>76200</xdr:rowOff>
        </xdr:from>
        <xdr:to>
          <xdr:col>11</xdr:col>
          <xdr:colOff>1323975</xdr:colOff>
          <xdr:row>4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</a:rPr>
                <a:t>Hide &amp; Protect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1"/>
  <sheetViews>
    <sheetView showGridLines="0" topLeftCell="A25" workbookViewId="0"/>
  </sheetViews>
  <sheetFormatPr defaultRowHeight="15" x14ac:dyDescent="0.25"/>
  <cols>
    <col min="1" max="1" width="9.140625" style="1"/>
  </cols>
  <sheetData>
    <row r="1" spans="1:21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.75" x14ac:dyDescent="0.3">
      <c r="A2" s="19"/>
      <c r="B2" s="36" t="s">
        <v>107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.75" x14ac:dyDescent="0.3">
      <c r="A4" s="19"/>
      <c r="B4" s="19" t="s">
        <v>104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8.75" x14ac:dyDescent="0.3">
      <c r="A5" s="19"/>
      <c r="B5" s="19" t="s">
        <v>78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8.75" x14ac:dyDescent="0.3">
      <c r="A6" s="19"/>
      <c r="B6" s="19" t="s">
        <v>79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8.75" x14ac:dyDescent="0.3">
      <c r="A7" s="19"/>
      <c r="B7" s="19" t="s">
        <v>80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8.75" x14ac:dyDescent="0.3">
      <c r="A9" s="19"/>
      <c r="B9" s="19" t="s">
        <v>108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8.75" x14ac:dyDescent="0.3">
      <c r="A10" s="19"/>
      <c r="B10" s="19" t="s">
        <v>97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8.75" x14ac:dyDescent="0.3">
      <c r="A11" s="19"/>
      <c r="B11" s="19" t="s">
        <v>98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8.75" x14ac:dyDescent="0.3">
      <c r="A12" s="19"/>
      <c r="B12" s="19" t="s">
        <v>106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8" x14ac:dyDescent="0.3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8" x14ac:dyDescent="0.3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8.7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8.75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5" customHeight="1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8.75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8.75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8.75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8.75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8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8" x14ac:dyDescent="0.3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8" x14ac:dyDescent="0.3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8" x14ac:dyDescent="0.3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8" x14ac:dyDescent="0.3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8" x14ac:dyDescent="0.3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8" x14ac:dyDescent="0.3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8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8" x14ac:dyDescent="0.3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8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8" x14ac:dyDescent="0.3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8.75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8.75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8.75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8.75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8.75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8.75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8.75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8.75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8.75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</sheetData>
  <sheetProtection password="C75C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K88"/>
  <sheetViews>
    <sheetView showGridLines="0" tabSelected="1" zoomScale="90" zoomScaleNormal="90" workbookViewId="0">
      <selection activeCell="C10" sqref="C10:D10"/>
    </sheetView>
  </sheetViews>
  <sheetFormatPr defaultColWidth="9.140625" defaultRowHeight="14.25" x14ac:dyDescent="0.2"/>
  <cols>
    <col min="1" max="1" width="17.140625" style="56" customWidth="1"/>
    <col min="2" max="2" width="37.7109375" style="56" customWidth="1"/>
    <col min="3" max="3" width="14.7109375" style="56" customWidth="1"/>
    <col min="4" max="4" width="15" style="56" customWidth="1"/>
    <col min="5" max="6" width="13.42578125" style="56" customWidth="1"/>
    <col min="7" max="8" width="13.140625" style="201" customWidth="1"/>
    <col min="9" max="9" width="9.140625" style="56" customWidth="1"/>
    <col min="10" max="10" width="17.85546875" style="56" customWidth="1"/>
    <col min="11" max="11" width="9.140625" style="56" customWidth="1"/>
    <col min="12" max="12" width="32.85546875" style="56" hidden="1" customWidth="1"/>
    <col min="13" max="13" width="12" style="56" hidden="1" customWidth="1"/>
    <col min="14" max="14" width="23" style="56" hidden="1" customWidth="1"/>
    <col min="15" max="16" width="18.85546875" style="56" hidden="1" customWidth="1"/>
    <col min="17" max="17" width="20.140625" style="56" hidden="1" customWidth="1"/>
    <col min="18" max="18" width="18.140625" style="56" hidden="1" customWidth="1"/>
    <col min="19" max="19" width="21.7109375" style="56" hidden="1" customWidth="1"/>
    <col min="20" max="20" width="24.42578125" style="56" hidden="1" customWidth="1"/>
    <col min="21" max="21" width="19.5703125" style="56" hidden="1" customWidth="1"/>
    <col min="22" max="22" width="17.42578125" style="56" hidden="1" customWidth="1"/>
    <col min="23" max="23" width="13.140625" style="56" hidden="1" customWidth="1"/>
    <col min="24" max="24" width="12.85546875" style="56" hidden="1" customWidth="1"/>
    <col min="25" max="25" width="14.85546875" style="56" hidden="1" customWidth="1"/>
    <col min="26" max="26" width="14.7109375" style="56" hidden="1" customWidth="1"/>
    <col min="27" max="27" width="14.42578125" style="56" hidden="1" customWidth="1"/>
    <col min="28" max="29" width="12.28515625" style="56" hidden="1" customWidth="1"/>
    <col min="30" max="30" width="11.85546875" style="56" hidden="1" customWidth="1"/>
    <col min="31" max="32" width="11.5703125" style="56" hidden="1" customWidth="1"/>
    <col min="33" max="33" width="11.85546875" style="56" hidden="1" customWidth="1"/>
    <col min="34" max="35" width="11.5703125" style="56" hidden="1" customWidth="1"/>
    <col min="36" max="16384" width="9.140625" style="56"/>
  </cols>
  <sheetData>
    <row r="1" spans="1:37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AJ1" s="55"/>
      <c r="AK1" s="55"/>
    </row>
    <row r="2" spans="1:37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AJ2" s="55"/>
      <c r="AK2" s="55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AJ3" s="55"/>
      <c r="AK3" s="55"/>
    </row>
    <row r="4" spans="1:37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AJ4" s="55"/>
      <c r="AK4" s="55"/>
    </row>
    <row r="5" spans="1:37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AJ5" s="55"/>
      <c r="AK5" s="55"/>
    </row>
    <row r="6" spans="1:37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AJ6" s="55"/>
      <c r="AK6" s="55"/>
    </row>
    <row r="7" spans="1:37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AJ7" s="55"/>
      <c r="AK7" s="55"/>
    </row>
    <row r="8" spans="1:37" ht="32.450000000000003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N8" s="57" t="s">
        <v>22</v>
      </c>
      <c r="O8" s="58"/>
      <c r="P8" s="59" t="s">
        <v>68</v>
      </c>
      <c r="Q8" s="60" t="s">
        <v>23</v>
      </c>
      <c r="R8" s="60" t="s">
        <v>25</v>
      </c>
      <c r="S8" s="61" t="s">
        <v>24</v>
      </c>
      <c r="T8" s="62" t="s">
        <v>40</v>
      </c>
      <c r="AJ8" s="55"/>
      <c r="AK8" s="55"/>
    </row>
    <row r="9" spans="1:37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N9" s="30" t="s">
        <v>13</v>
      </c>
      <c r="O9" s="31"/>
      <c r="P9" s="63" t="s">
        <v>13</v>
      </c>
      <c r="Q9" s="64">
        <f>IF(OR(C26=0,C26="%"),0,C26)</f>
        <v>0.46</v>
      </c>
      <c r="R9" s="208">
        <f>IF(OR(D26=0,D26="%"),0,D26*0.437)</f>
        <v>0</v>
      </c>
      <c r="S9" s="209">
        <f>IF(OR(E26=0,E26="%"),0,E26*0.83)</f>
        <v>0</v>
      </c>
      <c r="T9" s="65">
        <f>IF(F26&lt;=0,0,(F26/50))</f>
        <v>0</v>
      </c>
      <c r="AJ9" s="55"/>
      <c r="AK9" s="55"/>
    </row>
    <row r="10" spans="1:37" ht="18" x14ac:dyDescent="0.25">
      <c r="A10" s="55"/>
      <c r="B10" s="66" t="s">
        <v>94</v>
      </c>
      <c r="C10" s="231" t="s">
        <v>103</v>
      </c>
      <c r="D10" s="231"/>
      <c r="E10" s="18"/>
      <c r="F10" s="55"/>
      <c r="G10" s="55"/>
      <c r="H10" s="55"/>
      <c r="I10" s="55"/>
      <c r="J10" s="55"/>
      <c r="K10" s="55"/>
      <c r="N10" s="2" t="s">
        <v>19</v>
      </c>
      <c r="O10" s="3"/>
      <c r="P10" s="67" t="s">
        <v>16</v>
      </c>
      <c r="Q10" s="68">
        <f t="shared" ref="Q10:Q13" si="0">IF(OR(C27=0,C27="%"),0,C27)</f>
        <v>0</v>
      </c>
      <c r="R10" s="210">
        <f>IF(OR(D27=0,D27="%"),0,D27*0.437)</f>
        <v>0.20102</v>
      </c>
      <c r="S10" s="211">
        <f>IF(OR(E27=0,E27="%"),0,E27*0.83)</f>
        <v>0</v>
      </c>
      <c r="T10" s="70">
        <f>IF(F27&lt;=0,0,(F27/50))</f>
        <v>0</v>
      </c>
      <c r="AJ10" s="55"/>
      <c r="AK10" s="55"/>
    </row>
    <row r="11" spans="1:37" ht="18" x14ac:dyDescent="0.25">
      <c r="A11" s="55"/>
      <c r="B11" s="66" t="s">
        <v>95</v>
      </c>
      <c r="C11" s="231" t="s">
        <v>103</v>
      </c>
      <c r="D11" s="231"/>
      <c r="E11" s="71"/>
      <c r="F11" s="55"/>
      <c r="G11" s="55"/>
      <c r="H11" s="55"/>
      <c r="I11" s="55"/>
      <c r="J11" s="55"/>
      <c r="K11" s="55"/>
      <c r="N11" s="2" t="s">
        <v>20</v>
      </c>
      <c r="O11" s="3"/>
      <c r="P11" s="72" t="s">
        <v>17</v>
      </c>
      <c r="Q11" s="68">
        <f t="shared" si="0"/>
        <v>0.18</v>
      </c>
      <c r="R11" s="210">
        <f>IF(OR(D28=0,D28="%"),0,D28*0.437)</f>
        <v>0.20102</v>
      </c>
      <c r="S11" s="211">
        <f>IF(OR(E28=0,E28="%"),0,E28*0.83)</f>
        <v>0</v>
      </c>
      <c r="T11" s="70">
        <f>IF(F28&lt;=0,0,(F28/50))</f>
        <v>0</v>
      </c>
      <c r="AJ11" s="55"/>
      <c r="AK11" s="55"/>
    </row>
    <row r="12" spans="1:37" ht="18" x14ac:dyDescent="0.25">
      <c r="A12" s="55"/>
      <c r="B12" s="66" t="s">
        <v>96</v>
      </c>
      <c r="C12" s="232">
        <f ca="1">TODAY()</f>
        <v>41620</v>
      </c>
      <c r="D12" s="232"/>
      <c r="E12" s="73"/>
      <c r="F12" s="55"/>
      <c r="G12" s="55"/>
      <c r="H12" s="55"/>
      <c r="I12" s="55"/>
      <c r="J12" s="55"/>
      <c r="K12" s="55"/>
      <c r="N12" s="29" t="s">
        <v>21</v>
      </c>
      <c r="O12" s="32"/>
      <c r="P12" s="74" t="s">
        <v>26</v>
      </c>
      <c r="Q12" s="68">
        <f t="shared" si="0"/>
        <v>0</v>
      </c>
      <c r="R12" s="210">
        <f>IF(OR(D29=0,D29="%"),0,D29*0.437)</f>
        <v>0</v>
      </c>
      <c r="S12" s="211">
        <f>IF(OR(E29=0,E29="%"),0,E29*0.83)</f>
        <v>0.49799999999999994</v>
      </c>
      <c r="T12" s="70">
        <f>IF(F29&lt;=0,0,(F29/50))</f>
        <v>0</v>
      </c>
      <c r="AJ12" s="55"/>
      <c r="AK12" s="55"/>
    </row>
    <row r="13" spans="1:37" x14ac:dyDescent="0.2">
      <c r="A13" s="55"/>
      <c r="B13" s="55"/>
      <c r="C13" s="55"/>
      <c r="D13" s="55"/>
      <c r="E13" s="73"/>
      <c r="F13" s="55"/>
      <c r="G13" s="55"/>
      <c r="H13" s="55"/>
      <c r="I13" s="55"/>
      <c r="J13" s="55"/>
      <c r="K13" s="55"/>
      <c r="N13" s="75" t="str">
        <f>B30</f>
        <v>xxx</v>
      </c>
      <c r="O13" s="76"/>
      <c r="P13" s="77" t="str">
        <f>LEFT(N13,4)</f>
        <v>xxx</v>
      </c>
      <c r="Q13" s="78">
        <f t="shared" si="0"/>
        <v>0</v>
      </c>
      <c r="R13" s="212">
        <f>IF(OR(D30=0,D30="%"),0,D30*0.437)</f>
        <v>0</v>
      </c>
      <c r="S13" s="213">
        <f>IF(OR(E30=0,E30="%"),0,E30*0.83)</f>
        <v>0</v>
      </c>
      <c r="T13" s="79">
        <f>IF(F30&lt;=0,0,(F30/50))</f>
        <v>0</v>
      </c>
      <c r="AJ13" s="55"/>
      <c r="AK13" s="55"/>
    </row>
    <row r="14" spans="1:37" ht="18" x14ac:dyDescent="0.25">
      <c r="A14" s="55"/>
      <c r="B14" s="236" t="s">
        <v>8</v>
      </c>
      <c r="C14" s="237"/>
      <c r="D14" s="238"/>
      <c r="E14" s="73"/>
      <c r="F14" s="55"/>
      <c r="G14" s="55"/>
      <c r="H14" s="55"/>
      <c r="I14" s="55"/>
      <c r="J14" s="55"/>
      <c r="K14" s="55"/>
      <c r="N14" s="80"/>
      <c r="O14" s="80"/>
      <c r="P14" s="81"/>
      <c r="Q14" s="69"/>
      <c r="R14" s="69"/>
      <c r="S14" s="69"/>
      <c r="T14" s="82"/>
      <c r="AJ14" s="55"/>
      <c r="AK14" s="55"/>
    </row>
    <row r="15" spans="1:37" ht="54" x14ac:dyDescent="0.2">
      <c r="A15" s="55"/>
      <c r="B15" s="51" t="s">
        <v>9</v>
      </c>
      <c r="C15" s="4" t="s">
        <v>10</v>
      </c>
      <c r="D15" s="5" t="s">
        <v>126</v>
      </c>
      <c r="E15" s="73"/>
      <c r="F15" s="55"/>
      <c r="G15" s="55"/>
      <c r="H15" s="55"/>
      <c r="I15" s="55"/>
      <c r="J15" s="55"/>
      <c r="K15" s="55"/>
      <c r="AJ15" s="55"/>
      <c r="AK15" s="55"/>
    </row>
    <row r="16" spans="1:37" ht="18" x14ac:dyDescent="0.25">
      <c r="A16" s="55"/>
      <c r="B16" s="6" t="s">
        <v>3</v>
      </c>
      <c r="C16" s="42">
        <v>0</v>
      </c>
      <c r="D16" s="42">
        <v>0</v>
      </c>
      <c r="E16" s="73"/>
      <c r="F16" s="55"/>
      <c r="G16" s="55"/>
      <c r="H16" s="55"/>
      <c r="I16" s="55"/>
      <c r="J16" s="55"/>
      <c r="K16" s="55"/>
      <c r="N16" s="215" t="s">
        <v>36</v>
      </c>
      <c r="O16" s="216"/>
      <c r="P16" s="216"/>
      <c r="Q16" s="216"/>
      <c r="R16" s="216"/>
      <c r="S16" s="216"/>
      <c r="T16" s="216"/>
      <c r="U16" s="216"/>
      <c r="V16" s="216"/>
      <c r="W16" s="216"/>
      <c r="X16" s="217"/>
      <c r="Y16" s="215" t="s">
        <v>109</v>
      </c>
      <c r="Z16" s="216"/>
      <c r="AA16" s="217"/>
      <c r="AJ16" s="55"/>
      <c r="AK16" s="55"/>
    </row>
    <row r="17" spans="1:37" ht="18" x14ac:dyDescent="0.25">
      <c r="A17" s="55"/>
      <c r="B17" s="6" t="s">
        <v>0</v>
      </c>
      <c r="C17" s="42">
        <v>0</v>
      </c>
      <c r="D17" s="42">
        <v>0</v>
      </c>
      <c r="E17" s="73"/>
      <c r="F17" s="55"/>
      <c r="G17" s="55"/>
      <c r="H17" s="55"/>
      <c r="I17" s="55"/>
      <c r="J17" s="55"/>
      <c r="K17" s="55"/>
      <c r="N17" s="75" t="s">
        <v>9</v>
      </c>
      <c r="O17" s="67" t="s">
        <v>28</v>
      </c>
      <c r="P17" s="81" t="s">
        <v>29</v>
      </c>
      <c r="Q17" s="81" t="s">
        <v>30</v>
      </c>
      <c r="R17" s="81" t="s">
        <v>31</v>
      </c>
      <c r="S17" s="83" t="str">
        <f>P13&amp;" Min"</f>
        <v>xxx Min</v>
      </c>
      <c r="T17" s="84" t="s">
        <v>32</v>
      </c>
      <c r="U17" s="85" t="s">
        <v>33</v>
      </c>
      <c r="V17" s="85" t="s">
        <v>34</v>
      </c>
      <c r="W17" s="85" t="s">
        <v>35</v>
      </c>
      <c r="X17" s="86" t="str">
        <f>P13&amp;" Max"</f>
        <v>xxx Max</v>
      </c>
      <c r="Y17" s="72" t="s">
        <v>72</v>
      </c>
      <c r="Z17" s="83" t="s">
        <v>73</v>
      </c>
      <c r="AA17" s="61" t="s">
        <v>75</v>
      </c>
      <c r="AJ17" s="55"/>
      <c r="AK17" s="55"/>
    </row>
    <row r="18" spans="1:37" ht="18" x14ac:dyDescent="0.25">
      <c r="A18" s="55"/>
      <c r="B18" s="6" t="s">
        <v>85</v>
      </c>
      <c r="C18" s="42">
        <v>0</v>
      </c>
      <c r="D18" s="42">
        <v>0</v>
      </c>
      <c r="E18" s="55"/>
      <c r="F18" s="55"/>
      <c r="G18" s="55"/>
      <c r="H18" s="55"/>
      <c r="I18" s="55"/>
      <c r="J18" s="55"/>
      <c r="K18" s="55"/>
      <c r="N18" s="87" t="s">
        <v>3</v>
      </c>
      <c r="O18" s="88">
        <v>0</v>
      </c>
      <c r="P18" s="89">
        <v>0</v>
      </c>
      <c r="Q18" s="89">
        <v>0</v>
      </c>
      <c r="R18" s="89">
        <v>0</v>
      </c>
      <c r="S18" s="90">
        <v>0</v>
      </c>
      <c r="T18" s="88">
        <f>IF($F$26&lt;=0,0,100)</f>
        <v>0</v>
      </c>
      <c r="U18" s="89">
        <f>IF($F$27&lt;=0,0,50)</f>
        <v>0</v>
      </c>
      <c r="V18" s="89">
        <f>IF($F$28&lt;=0,0,50)</f>
        <v>0</v>
      </c>
      <c r="W18" s="89">
        <v>0</v>
      </c>
      <c r="X18" s="91">
        <f t="shared" ref="X18:X23" si="1">IF($F$30&lt;=0,0,200)</f>
        <v>0</v>
      </c>
      <c r="Y18" s="92">
        <v>46</v>
      </c>
      <c r="Z18" s="93">
        <v>10</v>
      </c>
      <c r="AA18" s="94">
        <v>15</v>
      </c>
      <c r="AJ18" s="55"/>
      <c r="AK18" s="55"/>
    </row>
    <row r="19" spans="1:37" ht="18" x14ac:dyDescent="0.25">
      <c r="A19" s="55"/>
      <c r="B19" s="6" t="s">
        <v>2</v>
      </c>
      <c r="C19" s="42">
        <v>0</v>
      </c>
      <c r="D19" s="42">
        <v>0</v>
      </c>
      <c r="E19" s="73"/>
      <c r="F19" s="55"/>
      <c r="G19" s="55"/>
      <c r="H19" s="55"/>
      <c r="I19" s="55"/>
      <c r="J19" s="55"/>
      <c r="K19" s="55"/>
      <c r="N19" s="87" t="s">
        <v>0</v>
      </c>
      <c r="O19" s="95">
        <v>0</v>
      </c>
      <c r="P19" s="96">
        <v>0</v>
      </c>
      <c r="Q19" s="96">
        <v>0</v>
      </c>
      <c r="R19" s="96">
        <v>0</v>
      </c>
      <c r="S19" s="97">
        <v>0</v>
      </c>
      <c r="T19" s="95">
        <f t="shared" ref="T19:T21" si="2">IF($F$26&lt;=0,0,100)</f>
        <v>0</v>
      </c>
      <c r="U19" s="96">
        <f>IF($F$27&lt;=0,0,50)</f>
        <v>0</v>
      </c>
      <c r="V19" s="96">
        <f>IF($F$28&lt;=0,0,50)</f>
        <v>0</v>
      </c>
      <c r="W19" s="96">
        <v>0</v>
      </c>
      <c r="X19" s="98">
        <f t="shared" si="1"/>
        <v>0</v>
      </c>
      <c r="Y19" s="99">
        <v>46</v>
      </c>
      <c r="Z19" s="100">
        <v>10</v>
      </c>
      <c r="AA19" s="101">
        <v>15</v>
      </c>
      <c r="AJ19" s="55"/>
      <c r="AK19" s="55"/>
    </row>
    <row r="20" spans="1:37" ht="18" x14ac:dyDescent="0.25">
      <c r="A20" s="55"/>
      <c r="B20" s="6" t="s">
        <v>1</v>
      </c>
      <c r="C20" s="42">
        <v>0</v>
      </c>
      <c r="D20" s="42">
        <v>0</v>
      </c>
      <c r="E20" s="73"/>
      <c r="F20" s="102"/>
      <c r="G20" s="55"/>
      <c r="H20" s="55"/>
      <c r="I20" s="55"/>
      <c r="J20" s="55"/>
      <c r="K20" s="55"/>
      <c r="N20" s="87" t="s">
        <v>85</v>
      </c>
      <c r="O20" s="95">
        <v>0</v>
      </c>
      <c r="P20" s="96">
        <v>0</v>
      </c>
      <c r="Q20" s="96">
        <v>0</v>
      </c>
      <c r="R20" s="96">
        <v>0</v>
      </c>
      <c r="S20" s="97">
        <v>0</v>
      </c>
      <c r="T20" s="95">
        <f>IF($F$26&lt;=0,0,200)</f>
        <v>0</v>
      </c>
      <c r="U20" s="96">
        <f>IF($F$27&lt;=0,0,150)</f>
        <v>0</v>
      </c>
      <c r="V20" s="96">
        <f>IF($F$28&lt;=0,0,150)</f>
        <v>0</v>
      </c>
      <c r="W20" s="96">
        <v>0</v>
      </c>
      <c r="X20" s="98">
        <f t="shared" si="1"/>
        <v>0</v>
      </c>
      <c r="Y20" s="99">
        <v>92</v>
      </c>
      <c r="Z20" s="100">
        <v>30</v>
      </c>
      <c r="AA20" s="101">
        <v>15</v>
      </c>
      <c r="AB20" s="103"/>
      <c r="AJ20" s="55"/>
      <c r="AK20" s="55"/>
    </row>
    <row r="21" spans="1:37" ht="18" x14ac:dyDescent="0.25">
      <c r="A21" s="55"/>
      <c r="B21" s="7" t="s">
        <v>83</v>
      </c>
      <c r="C21" s="43">
        <v>0</v>
      </c>
      <c r="D21" s="43">
        <v>0</v>
      </c>
      <c r="E21" s="73"/>
      <c r="F21" s="102"/>
      <c r="G21" s="55"/>
      <c r="H21" s="55"/>
      <c r="I21" s="55"/>
      <c r="J21" s="55"/>
      <c r="K21" s="55"/>
      <c r="N21" s="87" t="s">
        <v>2</v>
      </c>
      <c r="O21" s="95">
        <v>0</v>
      </c>
      <c r="P21" s="96">
        <v>0</v>
      </c>
      <c r="Q21" s="96">
        <v>0</v>
      </c>
      <c r="R21" s="96">
        <v>0</v>
      </c>
      <c r="S21" s="97">
        <v>0</v>
      </c>
      <c r="T21" s="95">
        <f t="shared" si="2"/>
        <v>0</v>
      </c>
      <c r="U21" s="96">
        <f>IF($F$27&lt;=0,0,120)</f>
        <v>0</v>
      </c>
      <c r="V21" s="96">
        <f>IF($F$28&lt;=0,0,120)</f>
        <v>0</v>
      </c>
      <c r="W21" s="96">
        <v>0</v>
      </c>
      <c r="X21" s="98">
        <f t="shared" si="1"/>
        <v>0</v>
      </c>
      <c r="Y21" s="99">
        <v>46</v>
      </c>
      <c r="Z21" s="100">
        <v>25</v>
      </c>
      <c r="AA21" s="101">
        <v>15</v>
      </c>
      <c r="AJ21" s="55"/>
      <c r="AK21" s="55"/>
    </row>
    <row r="22" spans="1:37" ht="18" x14ac:dyDescent="0.25">
      <c r="A22" s="55"/>
      <c r="B22" s="48" t="s">
        <v>90</v>
      </c>
      <c r="C22" s="104">
        <f>SUM(C16:C21)</f>
        <v>0</v>
      </c>
      <c r="D22" s="105"/>
      <c r="E22" s="55"/>
      <c r="F22" s="102"/>
      <c r="G22" s="55"/>
      <c r="H22" s="55"/>
      <c r="I22" s="55"/>
      <c r="J22" s="55"/>
      <c r="K22" s="55"/>
      <c r="N22" s="87" t="s">
        <v>1</v>
      </c>
      <c r="O22" s="95">
        <v>0</v>
      </c>
      <c r="P22" s="96">
        <v>0</v>
      </c>
      <c r="Q22" s="96">
        <v>0</v>
      </c>
      <c r="R22" s="96">
        <v>0</v>
      </c>
      <c r="S22" s="97">
        <v>0</v>
      </c>
      <c r="T22" s="95">
        <v>0</v>
      </c>
      <c r="U22" s="96">
        <f>IF($F$27&lt;=0,0,150)</f>
        <v>0</v>
      </c>
      <c r="V22" s="96">
        <v>0</v>
      </c>
      <c r="W22" s="96">
        <f>IF($F$29&lt;=0,0,100)</f>
        <v>0</v>
      </c>
      <c r="X22" s="98">
        <f t="shared" si="1"/>
        <v>0</v>
      </c>
      <c r="Y22" s="99">
        <v>15</v>
      </c>
      <c r="Z22" s="100">
        <v>30</v>
      </c>
      <c r="AA22" s="101">
        <v>50</v>
      </c>
      <c r="AJ22" s="55"/>
      <c r="AK22" s="55"/>
    </row>
    <row r="23" spans="1:37" ht="18" x14ac:dyDescent="0.25">
      <c r="A23" s="55"/>
      <c r="B23" s="20"/>
      <c r="C23" s="20"/>
      <c r="D23" s="20"/>
      <c r="E23" s="73"/>
      <c r="F23" s="102"/>
      <c r="G23" s="55"/>
      <c r="H23" s="55"/>
      <c r="I23" s="55"/>
      <c r="J23" s="55"/>
      <c r="K23" s="55"/>
      <c r="N23" s="75" t="s">
        <v>93</v>
      </c>
      <c r="O23" s="106">
        <v>0</v>
      </c>
      <c r="P23" s="107">
        <v>0</v>
      </c>
      <c r="Q23" s="107">
        <v>0</v>
      </c>
      <c r="R23" s="107">
        <v>0</v>
      </c>
      <c r="S23" s="108">
        <v>0</v>
      </c>
      <c r="T23" s="106">
        <v>0</v>
      </c>
      <c r="U23" s="107">
        <f>IF($F$27&lt;=0,0,175)</f>
        <v>0</v>
      </c>
      <c r="V23" s="107">
        <v>0</v>
      </c>
      <c r="W23" s="107">
        <f t="shared" ref="W23" si="3">IF($F$29&lt;=0,0,100)</f>
        <v>0</v>
      </c>
      <c r="X23" s="109">
        <f t="shared" si="1"/>
        <v>0</v>
      </c>
      <c r="Y23" s="110">
        <v>15</v>
      </c>
      <c r="Z23" s="111">
        <v>35</v>
      </c>
      <c r="AA23" s="112">
        <v>50</v>
      </c>
      <c r="AJ23" s="55"/>
      <c r="AK23" s="55"/>
    </row>
    <row r="24" spans="1:37" ht="18" x14ac:dyDescent="0.25">
      <c r="A24" s="55"/>
      <c r="B24" s="233" t="s">
        <v>11</v>
      </c>
      <c r="C24" s="234"/>
      <c r="D24" s="234"/>
      <c r="E24" s="234"/>
      <c r="F24" s="235"/>
      <c r="G24" s="55"/>
      <c r="H24" s="55"/>
      <c r="I24" s="55"/>
      <c r="J24" s="55"/>
      <c r="K24" s="55"/>
      <c r="Y24" s="96"/>
      <c r="Z24" s="96"/>
      <c r="AA24" s="96"/>
      <c r="AJ24" s="55"/>
      <c r="AK24" s="55"/>
    </row>
    <row r="25" spans="1:37" ht="41.25" customHeight="1" x14ac:dyDescent="0.2">
      <c r="A25" s="55"/>
      <c r="B25" s="50" t="s">
        <v>12</v>
      </c>
      <c r="C25" s="26" t="s">
        <v>82</v>
      </c>
      <c r="D25" s="27" t="s">
        <v>91</v>
      </c>
      <c r="E25" s="26" t="s">
        <v>92</v>
      </c>
      <c r="F25" s="28" t="s">
        <v>71</v>
      </c>
      <c r="G25" s="55"/>
      <c r="H25" s="55"/>
      <c r="I25" s="55"/>
      <c r="J25" s="55"/>
      <c r="K25" s="55"/>
      <c r="AJ25" s="55"/>
      <c r="AK25" s="55"/>
    </row>
    <row r="26" spans="1:37" ht="18" x14ac:dyDescent="0.25">
      <c r="A26" s="55"/>
      <c r="B26" s="25" t="s">
        <v>13</v>
      </c>
      <c r="C26" s="37">
        <v>0.46</v>
      </c>
      <c r="D26" s="37">
        <v>0</v>
      </c>
      <c r="E26" s="38">
        <v>0</v>
      </c>
      <c r="F26" s="206">
        <v>0</v>
      </c>
      <c r="G26" s="55"/>
      <c r="H26" s="55"/>
      <c r="I26" s="55"/>
      <c r="J26" s="55"/>
      <c r="K26" s="55"/>
      <c r="AJ26" s="55"/>
      <c r="AK26" s="55"/>
    </row>
    <row r="27" spans="1:37" ht="15" customHeight="1" x14ac:dyDescent="0.25">
      <c r="A27" s="55"/>
      <c r="B27" s="6" t="s">
        <v>88</v>
      </c>
      <c r="C27" s="39">
        <v>0</v>
      </c>
      <c r="D27" s="39">
        <v>0.46</v>
      </c>
      <c r="E27" s="40">
        <v>0</v>
      </c>
      <c r="F27" s="42">
        <v>0</v>
      </c>
      <c r="G27" s="55"/>
      <c r="H27" s="55"/>
      <c r="I27" s="55"/>
      <c r="J27" s="55"/>
      <c r="K27" s="55"/>
      <c r="AJ27" s="55"/>
      <c r="AK27" s="55"/>
    </row>
    <row r="28" spans="1:37" ht="15" customHeight="1" x14ac:dyDescent="0.25">
      <c r="A28" s="55"/>
      <c r="B28" s="6" t="s">
        <v>87</v>
      </c>
      <c r="C28" s="39">
        <v>0.18</v>
      </c>
      <c r="D28" s="39">
        <v>0.46</v>
      </c>
      <c r="E28" s="40">
        <v>0</v>
      </c>
      <c r="F28" s="42">
        <v>0</v>
      </c>
      <c r="G28" s="55"/>
      <c r="H28" s="55"/>
      <c r="I28" s="55"/>
      <c r="J28" s="55"/>
      <c r="K28" s="55"/>
      <c r="AJ28" s="55"/>
      <c r="AK28" s="55"/>
    </row>
    <row r="29" spans="1:37" ht="15" customHeight="1" x14ac:dyDescent="0.25">
      <c r="A29" s="55"/>
      <c r="B29" s="6" t="s">
        <v>86</v>
      </c>
      <c r="C29" s="39">
        <v>0</v>
      </c>
      <c r="D29" s="39">
        <v>0</v>
      </c>
      <c r="E29" s="40">
        <v>0.6</v>
      </c>
      <c r="F29" s="42">
        <v>0</v>
      </c>
      <c r="G29" s="55"/>
      <c r="H29" s="55"/>
      <c r="I29" s="55"/>
      <c r="J29" s="55"/>
      <c r="K29" s="55"/>
      <c r="AJ29" s="55"/>
      <c r="AK29" s="55"/>
    </row>
    <row r="30" spans="1:37" ht="18" x14ac:dyDescent="0.25">
      <c r="A30" s="55"/>
      <c r="B30" s="41" t="s">
        <v>103</v>
      </c>
      <c r="C30" s="54" t="s">
        <v>123</v>
      </c>
      <c r="D30" s="54" t="s">
        <v>123</v>
      </c>
      <c r="E30" s="54" t="s">
        <v>123</v>
      </c>
      <c r="F30" s="43">
        <v>0</v>
      </c>
      <c r="G30" s="55"/>
      <c r="H30" s="55"/>
      <c r="I30" s="55"/>
      <c r="J30" s="55"/>
      <c r="K30" s="55"/>
      <c r="L30" s="215" t="s">
        <v>38</v>
      </c>
      <c r="M30" s="216"/>
      <c r="N30" s="217"/>
      <c r="O30" s="218" t="s">
        <v>99</v>
      </c>
      <c r="P30" s="219"/>
      <c r="Q30" s="219"/>
      <c r="R30" s="219"/>
      <c r="S30" s="220"/>
      <c r="T30" s="215" t="s">
        <v>37</v>
      </c>
      <c r="U30" s="216"/>
      <c r="V30" s="216"/>
      <c r="W30" s="216"/>
      <c r="X30" s="216"/>
      <c r="Y30" s="216"/>
      <c r="Z30" s="216"/>
      <c r="AA30" s="216"/>
      <c r="AB30" s="215" t="s">
        <v>74</v>
      </c>
      <c r="AC30" s="216"/>
      <c r="AD30" s="217"/>
      <c r="AE30" s="103"/>
      <c r="AF30" s="103"/>
      <c r="AG30" s="103"/>
      <c r="AH30" s="103"/>
      <c r="AI30" s="103"/>
      <c r="AJ30" s="55"/>
      <c r="AK30" s="55"/>
    </row>
    <row r="31" spans="1:37" ht="16.5" customHeight="1" x14ac:dyDescent="0.2">
      <c r="A31" s="55"/>
      <c r="B31" s="102"/>
      <c r="C31" s="102"/>
      <c r="D31" s="102"/>
      <c r="E31" s="102"/>
      <c r="F31" s="102"/>
      <c r="G31" s="55"/>
      <c r="H31" s="55"/>
      <c r="I31" s="55"/>
      <c r="J31" s="55"/>
      <c r="K31" s="55"/>
      <c r="L31" s="113" t="s">
        <v>9</v>
      </c>
      <c r="M31" s="114" t="s">
        <v>27</v>
      </c>
      <c r="N31" s="63" t="s">
        <v>7</v>
      </c>
      <c r="O31" s="115" t="s">
        <v>63</v>
      </c>
      <c r="P31" s="116" t="s">
        <v>100</v>
      </c>
      <c r="Q31" s="116" t="s">
        <v>101</v>
      </c>
      <c r="R31" s="116" t="s">
        <v>102</v>
      </c>
      <c r="S31" s="117" t="str">
        <f>P13&amp;" kg"</f>
        <v>xxx kg</v>
      </c>
      <c r="T31" s="84" t="s">
        <v>41</v>
      </c>
      <c r="U31" s="85" t="s">
        <v>42</v>
      </c>
      <c r="V31" s="85" t="s">
        <v>43</v>
      </c>
      <c r="W31" s="85" t="s">
        <v>44</v>
      </c>
      <c r="X31" s="85" t="s">
        <v>45</v>
      </c>
      <c r="Y31" s="118" t="str">
        <f>P13&amp; " kg (N)"</f>
        <v>xxx kg (N)</v>
      </c>
      <c r="Z31" s="118" t="str">
        <f>P13&amp;" kg (P)"</f>
        <v>xxx kg (P)</v>
      </c>
      <c r="AA31" s="86" t="str">
        <f>P13&amp;" kg (K)"</f>
        <v>xxx kg (K)</v>
      </c>
      <c r="AB31" s="83" t="s">
        <v>72</v>
      </c>
      <c r="AC31" s="83" t="s">
        <v>73</v>
      </c>
      <c r="AD31" s="61" t="s">
        <v>75</v>
      </c>
      <c r="AE31" s="83"/>
      <c r="AF31" s="83"/>
      <c r="AG31" s="83"/>
      <c r="AH31" s="83"/>
      <c r="AI31" s="83"/>
      <c r="AJ31" s="55"/>
      <c r="AK31" s="55"/>
    </row>
    <row r="32" spans="1:37" ht="19.5" customHeight="1" x14ac:dyDescent="0.2">
      <c r="A32" s="55"/>
      <c r="B32" s="102"/>
      <c r="C32" s="102"/>
      <c r="D32" s="102"/>
      <c r="E32" s="102"/>
      <c r="F32" s="102"/>
      <c r="G32" s="55"/>
      <c r="H32" s="55"/>
      <c r="I32" s="55"/>
      <c r="J32" s="55"/>
      <c r="K32" s="55"/>
      <c r="L32" s="119" t="s">
        <v>3</v>
      </c>
      <c r="M32" s="63">
        <f t="shared" ref="M32:M37" si="4">C16</f>
        <v>0</v>
      </c>
      <c r="N32" s="59">
        <f t="shared" ref="N32:N37" si="5">IF(D16&lt;=0,0,D16)</f>
        <v>0</v>
      </c>
      <c r="O32" s="120">
        <v>0</v>
      </c>
      <c r="P32" s="121">
        <v>0</v>
      </c>
      <c r="Q32" s="121">
        <v>0</v>
      </c>
      <c r="R32" s="122">
        <v>0</v>
      </c>
      <c r="S32" s="123">
        <v>0</v>
      </c>
      <c r="T32" s="124">
        <f>IF(M32&lt;=0,0,O32*$Q$9)</f>
        <v>0</v>
      </c>
      <c r="U32" s="125">
        <f>IF(M32&lt;=0,0,P32*$R$10)</f>
        <v>0</v>
      </c>
      <c r="V32" s="125">
        <f>IF(M32&lt;=0,0,Q32*$Q$11)</f>
        <v>0</v>
      </c>
      <c r="W32" s="125">
        <f>IF(M32&lt;=0,0,Q32*$R$11)</f>
        <v>0</v>
      </c>
      <c r="X32" s="125">
        <f>IF(M32&lt;=0,0,R32*$S$12)</f>
        <v>0</v>
      </c>
      <c r="Y32" s="125">
        <f>IF(OR(M32&lt;=0,$C$30=0,$C$30="%"),0,S32*$Q$13)</f>
        <v>0</v>
      </c>
      <c r="Z32" s="125">
        <f>IF(OR(M32&lt;=0,$D$30=0,$D$30="%"),0,S32*$R$13)</f>
        <v>0</v>
      </c>
      <c r="AA32" s="101">
        <f>IF(OR(M32&lt;=0,$E$30=0,$E$30="%"),0,S32*$S$13)</f>
        <v>0</v>
      </c>
      <c r="AB32" s="93">
        <f>T32+V32+Y32</f>
        <v>0</v>
      </c>
      <c r="AC32" s="93">
        <f t="shared" ref="AB32:AC37" si="6">U32+W32+Z32</f>
        <v>0</v>
      </c>
      <c r="AD32" s="94">
        <f>X32+AA32</f>
        <v>0</v>
      </c>
      <c r="AE32" s="126"/>
      <c r="AF32" s="126"/>
      <c r="AG32" s="126"/>
      <c r="AH32" s="126"/>
      <c r="AI32" s="126"/>
      <c r="AJ32" s="55"/>
      <c r="AK32" s="55"/>
    </row>
    <row r="33" spans="1:37" ht="19.5" customHeight="1" x14ac:dyDescent="0.25">
      <c r="A33" s="55"/>
      <c r="B33" s="233" t="s">
        <v>14</v>
      </c>
      <c r="C33" s="235"/>
      <c r="D33" s="102"/>
      <c r="E33" s="102"/>
      <c r="F33" s="102"/>
      <c r="G33" s="55"/>
      <c r="H33" s="55"/>
      <c r="I33" s="55"/>
      <c r="J33" s="55"/>
      <c r="K33" s="55"/>
      <c r="L33" s="127" t="s">
        <v>0</v>
      </c>
      <c r="M33" s="67">
        <f t="shared" si="4"/>
        <v>0</v>
      </c>
      <c r="N33" s="128">
        <f t="shared" si="5"/>
        <v>0</v>
      </c>
      <c r="O33" s="120">
        <v>0</v>
      </c>
      <c r="P33" s="121">
        <v>0</v>
      </c>
      <c r="Q33" s="121">
        <v>0</v>
      </c>
      <c r="R33" s="122">
        <v>0</v>
      </c>
      <c r="S33" s="123">
        <v>0</v>
      </c>
      <c r="T33" s="124">
        <f t="shared" ref="T33:T37" si="7">IF(M33&lt;=0,0,O33*$Q$9)</f>
        <v>0</v>
      </c>
      <c r="U33" s="125">
        <f t="shared" ref="U33:U37" si="8">IF(M33&lt;=0,0,P33*$R$10)</f>
        <v>0</v>
      </c>
      <c r="V33" s="125">
        <f t="shared" ref="V33:V37" si="9">IF(M33&lt;=0,0,Q33*$Q$11)</f>
        <v>0</v>
      </c>
      <c r="W33" s="125">
        <f t="shared" ref="W33:W37" si="10">IF(M33&lt;=0,0,Q33*$R$11)</f>
        <v>0</v>
      </c>
      <c r="X33" s="125">
        <f t="shared" ref="X33:X37" si="11">IF(M33&lt;=0,0,R33*$S$12)</f>
        <v>0</v>
      </c>
      <c r="Y33" s="125">
        <f t="shared" ref="Y33:Y37" si="12">IF(OR(M33&lt;=0,$C$30=0,$C$30="%"),0,S33*$Q$13)</f>
        <v>0</v>
      </c>
      <c r="Z33" s="125">
        <f t="shared" ref="Z33:Z37" si="13">IF(OR(M33&lt;=0,$D$30=0,$D$30="%"),0,S33*$R$13)</f>
        <v>0</v>
      </c>
      <c r="AA33" s="101">
        <f t="shared" ref="AA33:AA37" si="14">IF(OR(M33&lt;=0,$E$30=0,$E$30="%"),0,S33*$S$13)</f>
        <v>0</v>
      </c>
      <c r="AB33" s="100">
        <f t="shared" si="6"/>
        <v>0</v>
      </c>
      <c r="AC33" s="100">
        <f t="shared" si="6"/>
        <v>0</v>
      </c>
      <c r="AD33" s="101">
        <f t="shared" ref="AD33:AD37" si="15">X33+AA33</f>
        <v>0</v>
      </c>
      <c r="AE33" s="126"/>
      <c r="AF33" s="126"/>
      <c r="AG33" s="126"/>
      <c r="AH33" s="126"/>
      <c r="AI33" s="126"/>
      <c r="AJ33" s="55"/>
      <c r="AK33" s="55"/>
    </row>
    <row r="34" spans="1:37" ht="36" x14ac:dyDescent="0.25">
      <c r="A34" s="55"/>
      <c r="B34" s="16" t="s">
        <v>15</v>
      </c>
      <c r="C34" s="207">
        <v>0</v>
      </c>
      <c r="D34" s="33"/>
      <c r="E34" s="24"/>
      <c r="F34" s="102"/>
      <c r="G34" s="55"/>
      <c r="H34" s="55"/>
      <c r="I34" s="55"/>
      <c r="J34" s="55"/>
      <c r="K34" s="55"/>
      <c r="L34" s="127" t="s">
        <v>85</v>
      </c>
      <c r="M34" s="67">
        <f t="shared" si="4"/>
        <v>0</v>
      </c>
      <c r="N34" s="128">
        <f t="shared" si="5"/>
        <v>0</v>
      </c>
      <c r="O34" s="120">
        <v>0</v>
      </c>
      <c r="P34" s="121">
        <v>0</v>
      </c>
      <c r="Q34" s="121">
        <v>0</v>
      </c>
      <c r="R34" s="122">
        <v>0</v>
      </c>
      <c r="S34" s="123">
        <v>0</v>
      </c>
      <c r="T34" s="124">
        <f t="shared" si="7"/>
        <v>0</v>
      </c>
      <c r="U34" s="125">
        <f t="shared" si="8"/>
        <v>0</v>
      </c>
      <c r="V34" s="125">
        <f t="shared" si="9"/>
        <v>0</v>
      </c>
      <c r="W34" s="125">
        <f t="shared" si="10"/>
        <v>0</v>
      </c>
      <c r="X34" s="125">
        <f t="shared" si="11"/>
        <v>0</v>
      </c>
      <c r="Y34" s="125">
        <f t="shared" si="12"/>
        <v>0</v>
      </c>
      <c r="Z34" s="125">
        <f t="shared" si="13"/>
        <v>0</v>
      </c>
      <c r="AA34" s="101">
        <f t="shared" si="14"/>
        <v>0</v>
      </c>
      <c r="AB34" s="100">
        <f t="shared" si="6"/>
        <v>0</v>
      </c>
      <c r="AC34" s="100">
        <f t="shared" si="6"/>
        <v>0</v>
      </c>
      <c r="AD34" s="101">
        <f t="shared" si="15"/>
        <v>0</v>
      </c>
      <c r="AE34" s="126"/>
      <c r="AF34" s="126"/>
      <c r="AG34" s="126"/>
      <c r="AH34" s="126"/>
      <c r="AI34" s="126"/>
      <c r="AJ34" s="55"/>
      <c r="AK34" s="55"/>
    </row>
    <row r="35" spans="1:37" ht="18" x14ac:dyDescent="0.2">
      <c r="A35" s="55"/>
      <c r="B35" s="239"/>
      <c r="C35" s="239"/>
      <c r="D35" s="44"/>
      <c r="E35" s="73"/>
      <c r="F35" s="102"/>
      <c r="G35" s="55"/>
      <c r="H35" s="55"/>
      <c r="I35" s="55"/>
      <c r="J35" s="55"/>
      <c r="K35" s="55"/>
      <c r="L35" s="129" t="s">
        <v>2</v>
      </c>
      <c r="M35" s="130">
        <f t="shared" si="4"/>
        <v>0</v>
      </c>
      <c r="N35" s="128">
        <f t="shared" si="5"/>
        <v>0</v>
      </c>
      <c r="O35" s="131">
        <v>0</v>
      </c>
      <c r="P35" s="132">
        <v>0</v>
      </c>
      <c r="Q35" s="132">
        <v>0</v>
      </c>
      <c r="R35" s="133">
        <v>0</v>
      </c>
      <c r="S35" s="121">
        <v>0</v>
      </c>
      <c r="T35" s="124">
        <f t="shared" si="7"/>
        <v>0</v>
      </c>
      <c r="U35" s="125">
        <f t="shared" si="8"/>
        <v>0</v>
      </c>
      <c r="V35" s="125">
        <f t="shared" si="9"/>
        <v>0</v>
      </c>
      <c r="W35" s="125">
        <f t="shared" si="10"/>
        <v>0</v>
      </c>
      <c r="X35" s="125">
        <f t="shared" si="11"/>
        <v>0</v>
      </c>
      <c r="Y35" s="125">
        <f t="shared" si="12"/>
        <v>0</v>
      </c>
      <c r="Z35" s="125">
        <f t="shared" si="13"/>
        <v>0</v>
      </c>
      <c r="AA35" s="101">
        <f t="shared" si="14"/>
        <v>0</v>
      </c>
      <c r="AB35" s="100">
        <f t="shared" si="6"/>
        <v>0</v>
      </c>
      <c r="AC35" s="96">
        <f t="shared" si="6"/>
        <v>0</v>
      </c>
      <c r="AD35" s="101">
        <f t="shared" si="15"/>
        <v>0</v>
      </c>
      <c r="AE35" s="126"/>
      <c r="AF35" s="126"/>
      <c r="AG35" s="126"/>
      <c r="AH35" s="126"/>
      <c r="AI35" s="126"/>
      <c r="AJ35" s="55"/>
      <c r="AK35" s="55"/>
    </row>
    <row r="36" spans="1:37" ht="18" x14ac:dyDescent="0.25">
      <c r="A36" s="55"/>
      <c r="B36" s="20"/>
      <c r="C36" s="134"/>
      <c r="D36" s="21"/>
      <c r="E36" s="73"/>
      <c r="F36" s="102"/>
      <c r="G36" s="55"/>
      <c r="H36" s="55"/>
      <c r="I36" s="55"/>
      <c r="J36" s="55"/>
      <c r="K36" s="55"/>
      <c r="L36" s="127" t="s">
        <v>1</v>
      </c>
      <c r="M36" s="67">
        <f t="shared" si="4"/>
        <v>0</v>
      </c>
      <c r="N36" s="128">
        <f t="shared" si="5"/>
        <v>0</v>
      </c>
      <c r="O36" s="135">
        <v>0</v>
      </c>
      <c r="P36" s="121">
        <v>0</v>
      </c>
      <c r="Q36" s="122">
        <v>0</v>
      </c>
      <c r="R36" s="121">
        <v>0</v>
      </c>
      <c r="S36" s="121">
        <v>0</v>
      </c>
      <c r="T36" s="124">
        <f t="shared" si="7"/>
        <v>0</v>
      </c>
      <c r="U36" s="125">
        <f t="shared" si="8"/>
        <v>0</v>
      </c>
      <c r="V36" s="125">
        <f t="shared" si="9"/>
        <v>0</v>
      </c>
      <c r="W36" s="125">
        <f t="shared" si="10"/>
        <v>0</v>
      </c>
      <c r="X36" s="125">
        <f t="shared" si="11"/>
        <v>0</v>
      </c>
      <c r="Y36" s="125">
        <f t="shared" si="12"/>
        <v>0</v>
      </c>
      <c r="Z36" s="125">
        <f t="shared" si="13"/>
        <v>0</v>
      </c>
      <c r="AA36" s="101">
        <f t="shared" si="14"/>
        <v>0</v>
      </c>
      <c r="AB36" s="100">
        <f t="shared" si="6"/>
        <v>0</v>
      </c>
      <c r="AC36" s="100">
        <f t="shared" si="6"/>
        <v>0</v>
      </c>
      <c r="AD36" s="101">
        <f t="shared" si="15"/>
        <v>0</v>
      </c>
      <c r="AE36" s="126"/>
      <c r="AF36" s="126"/>
      <c r="AG36" s="126"/>
      <c r="AH36" s="126"/>
      <c r="AI36" s="126"/>
      <c r="AJ36" s="55"/>
      <c r="AK36" s="55"/>
    </row>
    <row r="37" spans="1:37" ht="18" x14ac:dyDescent="0.25">
      <c r="A37" s="55"/>
      <c r="B37" s="134"/>
      <c r="C37" s="20"/>
      <c r="D37" s="20"/>
      <c r="E37" s="73"/>
      <c r="F37" s="102"/>
      <c r="G37" s="55"/>
      <c r="H37" s="55"/>
      <c r="I37" s="55"/>
      <c r="J37" s="55"/>
      <c r="K37" s="55"/>
      <c r="L37" s="136" t="s">
        <v>83</v>
      </c>
      <c r="M37" s="77">
        <f t="shared" si="4"/>
        <v>0</v>
      </c>
      <c r="N37" s="137">
        <f t="shared" si="5"/>
        <v>0</v>
      </c>
      <c r="O37" s="135">
        <v>0</v>
      </c>
      <c r="P37" s="121">
        <v>0</v>
      </c>
      <c r="Q37" s="122">
        <v>0</v>
      </c>
      <c r="R37" s="121">
        <v>0</v>
      </c>
      <c r="S37" s="121">
        <v>0</v>
      </c>
      <c r="T37" s="124">
        <f t="shared" si="7"/>
        <v>0</v>
      </c>
      <c r="U37" s="125">
        <f t="shared" si="8"/>
        <v>0</v>
      </c>
      <c r="V37" s="125">
        <f t="shared" si="9"/>
        <v>0</v>
      </c>
      <c r="W37" s="125">
        <f t="shared" si="10"/>
        <v>0</v>
      </c>
      <c r="X37" s="125">
        <f t="shared" si="11"/>
        <v>0</v>
      </c>
      <c r="Y37" s="125">
        <f t="shared" si="12"/>
        <v>0</v>
      </c>
      <c r="Z37" s="125">
        <f t="shared" si="13"/>
        <v>0</v>
      </c>
      <c r="AA37" s="101">
        <f t="shared" si="14"/>
        <v>0</v>
      </c>
      <c r="AB37" s="111">
        <f t="shared" si="6"/>
        <v>0</v>
      </c>
      <c r="AC37" s="107">
        <f t="shared" si="6"/>
        <v>0</v>
      </c>
      <c r="AD37" s="112">
        <f t="shared" si="15"/>
        <v>0</v>
      </c>
      <c r="AE37" s="126"/>
      <c r="AF37" s="126"/>
      <c r="AG37" s="126"/>
      <c r="AH37" s="126"/>
      <c r="AI37" s="126"/>
      <c r="AJ37" s="55"/>
      <c r="AK37" s="55"/>
    </row>
    <row r="38" spans="1:37" ht="18" x14ac:dyDescent="0.25">
      <c r="A38" s="55"/>
      <c r="B38" s="20"/>
      <c r="C38" s="20"/>
      <c r="D38" s="134"/>
      <c r="E38" s="73"/>
      <c r="F38" s="102"/>
      <c r="G38" s="55"/>
      <c r="H38" s="55"/>
      <c r="I38" s="55"/>
      <c r="J38" s="55"/>
      <c r="K38" s="55"/>
      <c r="L38" s="138" t="s">
        <v>39</v>
      </c>
      <c r="M38" s="114">
        <f>SUM(M32:M37)</f>
        <v>0</v>
      </c>
      <c r="N38" s="75"/>
      <c r="O38" s="139">
        <f>SUM(O32:O37)</f>
        <v>0</v>
      </c>
      <c r="P38" s="140">
        <f>SUM(P32:P37)</f>
        <v>0</v>
      </c>
      <c r="Q38" s="140">
        <f t="shared" ref="Q38:R38" si="16">SUM(Q32:Q37)</f>
        <v>0</v>
      </c>
      <c r="R38" s="140">
        <f t="shared" si="16"/>
        <v>0</v>
      </c>
      <c r="S38" s="141">
        <f>SUM(S32:S37)</f>
        <v>0</v>
      </c>
      <c r="T38" s="140">
        <f>SUM(T32:T37)</f>
        <v>0</v>
      </c>
      <c r="U38" s="140">
        <f t="shared" ref="U38:X38" si="17">SUM(U32:U37)</f>
        <v>0</v>
      </c>
      <c r="V38" s="140">
        <f t="shared" si="17"/>
        <v>0</v>
      </c>
      <c r="W38" s="140">
        <f t="shared" si="17"/>
        <v>0</v>
      </c>
      <c r="X38" s="140">
        <f t="shared" si="17"/>
        <v>0</v>
      </c>
      <c r="Y38" s="140">
        <f t="shared" ref="Y38" si="18">SUM(Y32:Y37)</f>
        <v>0</v>
      </c>
      <c r="Z38" s="140">
        <f t="shared" ref="Z38" si="19">SUM(Z32:Z37)</f>
        <v>0</v>
      </c>
      <c r="AA38" s="141">
        <f>SUM(AA32:AA37)</f>
        <v>0</v>
      </c>
      <c r="AB38" s="107">
        <f>SUM(AB32:AB37)</f>
        <v>0</v>
      </c>
      <c r="AC38" s="107">
        <f>SUM(AC32:AC37)</f>
        <v>0</v>
      </c>
      <c r="AD38" s="109">
        <f>SUM(AD32:AD37)</f>
        <v>0</v>
      </c>
      <c r="AE38" s="96"/>
      <c r="AF38" s="96"/>
      <c r="AG38" s="96"/>
      <c r="AH38" s="96"/>
      <c r="AI38" s="96"/>
      <c r="AJ38" s="55"/>
      <c r="AK38" s="55"/>
    </row>
    <row r="39" spans="1:37" ht="18" x14ac:dyDescent="0.25">
      <c r="A39" s="55"/>
      <c r="B39" s="20"/>
      <c r="C39" s="20"/>
      <c r="D39" s="20"/>
      <c r="E39" s="73"/>
      <c r="F39" s="102"/>
      <c r="G39" s="55"/>
      <c r="H39" s="55"/>
      <c r="I39" s="55"/>
      <c r="J39" s="55"/>
      <c r="K39" s="55"/>
      <c r="N39" s="77" t="s">
        <v>128</v>
      </c>
      <c r="O39" s="139">
        <f>$M$32*O32+$M$33*O33+$M$34*O34+$M$35*O35+$M$36*O36+$M$37*O37</f>
        <v>0</v>
      </c>
      <c r="P39" s="140">
        <f t="shared" ref="P39:S39" si="20">$M$32*P32+$M$33*P33+$M$34*P34+$M$35*P35+$M$36*P36+$M$37*P37</f>
        <v>0</v>
      </c>
      <c r="Q39" s="140">
        <f t="shared" si="20"/>
        <v>0</v>
      </c>
      <c r="R39" s="140">
        <f t="shared" si="20"/>
        <v>0</v>
      </c>
      <c r="S39" s="141">
        <f t="shared" si="20"/>
        <v>0</v>
      </c>
      <c r="AJ39" s="55"/>
      <c r="AK39" s="55"/>
    </row>
    <row r="40" spans="1:37" ht="18" x14ac:dyDescent="0.25">
      <c r="A40" s="55"/>
      <c r="B40" s="20"/>
      <c r="C40" s="20"/>
      <c r="D40" s="20"/>
      <c r="E40" s="73"/>
      <c r="F40" s="55"/>
      <c r="G40" s="55"/>
      <c r="H40" s="55"/>
      <c r="I40" s="55"/>
      <c r="J40" s="55"/>
      <c r="K40" s="55"/>
      <c r="AJ40" s="55"/>
      <c r="AK40" s="55"/>
    </row>
    <row r="41" spans="1:37" ht="18" x14ac:dyDescent="0.25">
      <c r="A41" s="55"/>
      <c r="B41" s="224" t="s">
        <v>81</v>
      </c>
      <c r="C41" s="225"/>
      <c r="D41" s="225"/>
      <c r="E41" s="225"/>
      <c r="F41" s="225"/>
      <c r="G41" s="226"/>
      <c r="H41" s="55"/>
      <c r="I41" s="55"/>
      <c r="J41" s="55"/>
      <c r="K41" s="55"/>
      <c r="AJ41" s="55"/>
      <c r="AK41" s="55"/>
    </row>
    <row r="42" spans="1:37" ht="18" x14ac:dyDescent="0.25">
      <c r="A42" s="55"/>
      <c r="B42" s="34"/>
      <c r="C42" s="221" t="s">
        <v>48</v>
      </c>
      <c r="D42" s="222"/>
      <c r="E42" s="222"/>
      <c r="F42" s="222"/>
      <c r="G42" s="223"/>
      <c r="H42" s="55"/>
      <c r="I42" s="55"/>
      <c r="J42" s="55"/>
      <c r="K42" s="55"/>
      <c r="AJ42" s="55"/>
      <c r="AK42" s="55"/>
    </row>
    <row r="43" spans="1:37" ht="18" x14ac:dyDescent="0.25">
      <c r="A43" s="55"/>
      <c r="B43" s="49" t="s">
        <v>9</v>
      </c>
      <c r="C43" s="46" t="s">
        <v>13</v>
      </c>
      <c r="D43" s="46" t="s">
        <v>16</v>
      </c>
      <c r="E43" s="46" t="s">
        <v>17</v>
      </c>
      <c r="F43" s="46" t="s">
        <v>18</v>
      </c>
      <c r="G43" s="46" t="str">
        <f>LEFT(B30,4)</f>
        <v>xxx</v>
      </c>
      <c r="H43" s="55"/>
      <c r="I43" s="55"/>
      <c r="J43" s="55"/>
      <c r="K43" s="55"/>
      <c r="W43" s="80"/>
      <c r="X43" s="80"/>
      <c r="Y43" s="80"/>
      <c r="AJ43" s="55"/>
      <c r="AK43" s="55"/>
    </row>
    <row r="44" spans="1:37" ht="18" x14ac:dyDescent="0.25">
      <c r="A44" s="55"/>
      <c r="B44" s="8" t="s">
        <v>3</v>
      </c>
      <c r="C44" s="9">
        <f>O32</f>
        <v>0</v>
      </c>
      <c r="D44" s="9">
        <f>P32</f>
        <v>0</v>
      </c>
      <c r="E44" s="9">
        <f>Q32</f>
        <v>0</v>
      </c>
      <c r="F44" s="9">
        <f>R32</f>
        <v>0</v>
      </c>
      <c r="G44" s="9">
        <f>S32</f>
        <v>0</v>
      </c>
      <c r="H44" s="55"/>
      <c r="I44" s="55"/>
      <c r="J44" s="55"/>
      <c r="K44" s="55"/>
      <c r="N44" s="215" t="s">
        <v>54</v>
      </c>
      <c r="O44" s="216"/>
      <c r="P44" s="216"/>
      <c r="Q44" s="216"/>
      <c r="R44" s="216"/>
      <c r="S44" s="216"/>
      <c r="T44" s="216"/>
      <c r="U44" s="220"/>
      <c r="Y44" s="81"/>
      <c r="AJ44" s="55"/>
      <c r="AK44" s="55"/>
    </row>
    <row r="45" spans="1:37" ht="18" x14ac:dyDescent="0.25">
      <c r="A45" s="55"/>
      <c r="B45" s="8" t="s">
        <v>0</v>
      </c>
      <c r="C45" s="9">
        <f t="shared" ref="C45:F49" si="21">O33</f>
        <v>0</v>
      </c>
      <c r="D45" s="9">
        <f t="shared" si="21"/>
        <v>0</v>
      </c>
      <c r="E45" s="9">
        <f t="shared" si="21"/>
        <v>0</v>
      </c>
      <c r="F45" s="9">
        <f t="shared" si="21"/>
        <v>0</v>
      </c>
      <c r="G45" s="9">
        <f t="shared" ref="G45:G48" si="22">S33</f>
        <v>0</v>
      </c>
      <c r="H45" s="55"/>
      <c r="I45" s="55"/>
      <c r="J45" s="55"/>
      <c r="K45" s="55"/>
      <c r="N45" s="136" t="s">
        <v>9</v>
      </c>
      <c r="O45" s="67" t="s">
        <v>55</v>
      </c>
      <c r="P45" s="81" t="s">
        <v>56</v>
      </c>
      <c r="Q45" s="81" t="s">
        <v>57</v>
      </c>
      <c r="R45" s="81" t="s">
        <v>58</v>
      </c>
      <c r="S45" s="142" t="str">
        <f>P13</f>
        <v>xxx</v>
      </c>
      <c r="T45" s="72" t="s">
        <v>122</v>
      </c>
      <c r="U45" s="114" t="s">
        <v>14</v>
      </c>
      <c r="Y45" s="81"/>
      <c r="AJ45" s="55"/>
      <c r="AK45" s="55"/>
    </row>
    <row r="46" spans="1:37" ht="18" x14ac:dyDescent="0.25">
      <c r="A46" s="55"/>
      <c r="B46" s="8" t="s">
        <v>85</v>
      </c>
      <c r="C46" s="9">
        <f t="shared" si="21"/>
        <v>0</v>
      </c>
      <c r="D46" s="9">
        <f t="shared" si="21"/>
        <v>0</v>
      </c>
      <c r="E46" s="9">
        <f t="shared" si="21"/>
        <v>0</v>
      </c>
      <c r="F46" s="9">
        <f t="shared" si="21"/>
        <v>0</v>
      </c>
      <c r="G46" s="9">
        <f t="shared" si="22"/>
        <v>0</v>
      </c>
      <c r="H46" s="55"/>
      <c r="I46" s="55"/>
      <c r="J46" s="55"/>
      <c r="K46" s="55"/>
      <c r="L46" s="143"/>
      <c r="N46" s="119" t="s">
        <v>3</v>
      </c>
      <c r="O46" s="63">
        <f>O32*$T$9</f>
        <v>0</v>
      </c>
      <c r="P46" s="60">
        <f t="shared" ref="P46:P51" si="23">P32*$T$10</f>
        <v>0</v>
      </c>
      <c r="Q46" s="60">
        <f t="shared" ref="Q46:Q51" si="24">Q32*$T$11</f>
        <v>0</v>
      </c>
      <c r="R46" s="60">
        <f t="shared" ref="R46:R51" si="25">R32*$T$12</f>
        <v>0</v>
      </c>
      <c r="S46" s="60">
        <f t="shared" ref="S46:S51" si="26">S32*$T$13</f>
        <v>0</v>
      </c>
      <c r="T46" s="59">
        <f>SUM(O46:S46)*M32</f>
        <v>0</v>
      </c>
      <c r="U46" s="58"/>
      <c r="Y46" s="81"/>
      <c r="AJ46" s="55"/>
      <c r="AK46" s="55"/>
    </row>
    <row r="47" spans="1:37" ht="15.75" customHeight="1" x14ac:dyDescent="0.25">
      <c r="A47" s="55"/>
      <c r="B47" s="8" t="s">
        <v>2</v>
      </c>
      <c r="C47" s="9">
        <f t="shared" si="21"/>
        <v>0</v>
      </c>
      <c r="D47" s="9">
        <f t="shared" si="21"/>
        <v>0</v>
      </c>
      <c r="E47" s="9">
        <f t="shared" si="21"/>
        <v>0</v>
      </c>
      <c r="F47" s="9">
        <f t="shared" si="21"/>
        <v>0</v>
      </c>
      <c r="G47" s="9">
        <f t="shared" si="22"/>
        <v>0</v>
      </c>
      <c r="H47" s="55"/>
      <c r="I47" s="55"/>
      <c r="J47" s="55"/>
      <c r="K47" s="55"/>
      <c r="N47" s="127" t="s">
        <v>0</v>
      </c>
      <c r="O47" s="67">
        <f t="shared" ref="O47:O51" si="27">O33*$T$9</f>
        <v>0</v>
      </c>
      <c r="P47" s="81">
        <f t="shared" si="23"/>
        <v>0</v>
      </c>
      <c r="Q47" s="81">
        <f t="shared" si="24"/>
        <v>0</v>
      </c>
      <c r="R47" s="81">
        <f t="shared" si="25"/>
        <v>0</v>
      </c>
      <c r="S47" s="81">
        <f t="shared" si="26"/>
        <v>0</v>
      </c>
      <c r="T47" s="128">
        <f t="shared" ref="T47:T51" si="28">SUM(O47:S47)*M33</f>
        <v>0</v>
      </c>
      <c r="U47" s="144"/>
      <c r="AJ47" s="55"/>
      <c r="AK47" s="55"/>
    </row>
    <row r="48" spans="1:37" ht="18" x14ac:dyDescent="0.25">
      <c r="A48" s="55"/>
      <c r="B48" s="8" t="s">
        <v>1</v>
      </c>
      <c r="C48" s="9">
        <f t="shared" si="21"/>
        <v>0</v>
      </c>
      <c r="D48" s="9">
        <f t="shared" si="21"/>
        <v>0</v>
      </c>
      <c r="E48" s="9">
        <f t="shared" si="21"/>
        <v>0</v>
      </c>
      <c r="F48" s="9">
        <f t="shared" si="21"/>
        <v>0</v>
      </c>
      <c r="G48" s="9">
        <f t="shared" si="22"/>
        <v>0</v>
      </c>
      <c r="H48" s="55"/>
      <c r="I48" s="55"/>
      <c r="J48" s="55"/>
      <c r="K48" s="55"/>
      <c r="N48" s="127" t="s">
        <v>85</v>
      </c>
      <c r="O48" s="67">
        <f t="shared" si="27"/>
        <v>0</v>
      </c>
      <c r="P48" s="81">
        <f t="shared" si="23"/>
        <v>0</v>
      </c>
      <c r="Q48" s="81">
        <f t="shared" si="24"/>
        <v>0</v>
      </c>
      <c r="R48" s="81">
        <f t="shared" si="25"/>
        <v>0</v>
      </c>
      <c r="S48" s="81">
        <f t="shared" si="26"/>
        <v>0</v>
      </c>
      <c r="T48" s="128">
        <f t="shared" si="28"/>
        <v>0</v>
      </c>
      <c r="U48" s="144"/>
      <c r="AJ48" s="55"/>
      <c r="AK48" s="55"/>
    </row>
    <row r="49" spans="1:37" ht="18" x14ac:dyDescent="0.25">
      <c r="A49" s="55"/>
      <c r="B49" s="10" t="s">
        <v>83</v>
      </c>
      <c r="C49" s="11">
        <f>O37</f>
        <v>0</v>
      </c>
      <c r="D49" s="11">
        <f t="shared" si="21"/>
        <v>0</v>
      </c>
      <c r="E49" s="11">
        <f t="shared" si="21"/>
        <v>0</v>
      </c>
      <c r="F49" s="11">
        <f t="shared" si="21"/>
        <v>0</v>
      </c>
      <c r="G49" s="11">
        <f>S37</f>
        <v>0</v>
      </c>
      <c r="H49" s="55"/>
      <c r="I49" s="55"/>
      <c r="J49" s="55"/>
      <c r="K49" s="55"/>
      <c r="N49" s="129" t="s">
        <v>2</v>
      </c>
      <c r="O49" s="67">
        <f t="shared" si="27"/>
        <v>0</v>
      </c>
      <c r="P49" s="81">
        <f t="shared" si="23"/>
        <v>0</v>
      </c>
      <c r="Q49" s="81">
        <f t="shared" si="24"/>
        <v>0</v>
      </c>
      <c r="R49" s="81">
        <f t="shared" si="25"/>
        <v>0</v>
      </c>
      <c r="S49" s="81">
        <f t="shared" si="26"/>
        <v>0</v>
      </c>
      <c r="T49" s="128">
        <f t="shared" si="28"/>
        <v>0</v>
      </c>
      <c r="U49" s="144"/>
      <c r="AJ49" s="55"/>
      <c r="AK49" s="55"/>
    </row>
    <row r="50" spans="1:37" ht="18" x14ac:dyDescent="0.25">
      <c r="A50" s="55"/>
      <c r="B50" s="45" t="s">
        <v>128</v>
      </c>
      <c r="C50" s="47">
        <f>O39</f>
        <v>0</v>
      </c>
      <c r="D50" s="47">
        <f>P39</f>
        <v>0</v>
      </c>
      <c r="E50" s="47">
        <f>Q39</f>
        <v>0</v>
      </c>
      <c r="F50" s="47">
        <f>R39</f>
        <v>0</v>
      </c>
      <c r="G50" s="47">
        <f>S39</f>
        <v>0</v>
      </c>
      <c r="H50" s="55"/>
      <c r="I50" s="55"/>
      <c r="J50" s="55"/>
      <c r="K50" s="55"/>
      <c r="N50" s="127" t="s">
        <v>1</v>
      </c>
      <c r="O50" s="67">
        <f t="shared" si="27"/>
        <v>0</v>
      </c>
      <c r="P50" s="81">
        <f t="shared" si="23"/>
        <v>0</v>
      </c>
      <c r="Q50" s="81">
        <f t="shared" si="24"/>
        <v>0</v>
      </c>
      <c r="R50" s="81">
        <f t="shared" si="25"/>
        <v>0</v>
      </c>
      <c r="S50" s="81">
        <f t="shared" si="26"/>
        <v>0</v>
      </c>
      <c r="T50" s="128">
        <f t="shared" si="28"/>
        <v>0</v>
      </c>
      <c r="U50" s="145"/>
      <c r="W50" s="215" t="s">
        <v>76</v>
      </c>
      <c r="X50" s="217"/>
      <c r="AJ50" s="55"/>
      <c r="AK50" s="55"/>
    </row>
    <row r="51" spans="1:37" x14ac:dyDescent="0.2">
      <c r="A51" s="55"/>
      <c r="B51" s="55"/>
      <c r="C51" s="55"/>
      <c r="D51" s="55"/>
      <c r="E51" s="55"/>
      <c r="F51" s="55"/>
      <c r="G51" s="22"/>
      <c r="H51" s="22"/>
      <c r="I51" s="55"/>
      <c r="J51" s="55"/>
      <c r="K51" s="55"/>
      <c r="N51" s="136" t="s">
        <v>83</v>
      </c>
      <c r="O51" s="67">
        <f t="shared" si="27"/>
        <v>0</v>
      </c>
      <c r="P51" s="81">
        <f t="shared" si="23"/>
        <v>0</v>
      </c>
      <c r="Q51" s="81">
        <f t="shared" si="24"/>
        <v>0</v>
      </c>
      <c r="R51" s="81">
        <f t="shared" si="25"/>
        <v>0</v>
      </c>
      <c r="S51" s="81">
        <f t="shared" si="26"/>
        <v>0</v>
      </c>
      <c r="T51" s="137">
        <f t="shared" si="28"/>
        <v>0</v>
      </c>
      <c r="U51" s="76"/>
      <c r="W51" s="77" t="s">
        <v>69</v>
      </c>
      <c r="X51" s="114" t="s">
        <v>70</v>
      </c>
      <c r="AJ51" s="55"/>
      <c r="AK51" s="55"/>
    </row>
    <row r="52" spans="1:37" ht="18" x14ac:dyDescent="0.25">
      <c r="A52" s="55"/>
      <c r="B52" s="224" t="s">
        <v>127</v>
      </c>
      <c r="C52" s="227"/>
      <c r="D52" s="228"/>
      <c r="E52" s="55"/>
      <c r="F52" s="55"/>
      <c r="G52" s="22"/>
      <c r="H52" s="22"/>
      <c r="I52" s="55"/>
      <c r="J52" s="55"/>
      <c r="K52" s="55"/>
      <c r="N52" s="138" t="s">
        <v>39</v>
      </c>
      <c r="O52" s="146">
        <f>SUM(O46:O51)</f>
        <v>0</v>
      </c>
      <c r="P52" s="147">
        <f t="shared" ref="P52:S52" si="29">SUM(P46:P51)</f>
        <v>0</v>
      </c>
      <c r="Q52" s="147">
        <f t="shared" si="29"/>
        <v>0</v>
      </c>
      <c r="R52" s="147">
        <f t="shared" si="29"/>
        <v>0</v>
      </c>
      <c r="S52" s="148">
        <f t="shared" si="29"/>
        <v>0</v>
      </c>
      <c r="T52" s="149">
        <f>SUM(T46:T51)</f>
        <v>0</v>
      </c>
      <c r="U52" s="150">
        <f>C34</f>
        <v>0</v>
      </c>
      <c r="W52" s="77">
        <v>20</v>
      </c>
      <c r="X52" s="137">
        <v>10</v>
      </c>
      <c r="Y52" s="103"/>
      <c r="Z52" s="81"/>
      <c r="AA52" s="81"/>
      <c r="AJ52" s="55"/>
      <c r="AK52" s="55"/>
    </row>
    <row r="53" spans="1:37" ht="36" customHeight="1" x14ac:dyDescent="0.2">
      <c r="A53" s="55"/>
      <c r="B53" s="49" t="s">
        <v>9</v>
      </c>
      <c r="C53" s="52" t="s">
        <v>77</v>
      </c>
      <c r="D53" s="53" t="s">
        <v>49</v>
      </c>
      <c r="E53" s="55"/>
      <c r="F53" s="55"/>
      <c r="G53" s="23"/>
      <c r="H53" s="23"/>
      <c r="I53" s="55"/>
      <c r="J53" s="55"/>
      <c r="K53" s="55"/>
      <c r="T53" s="151"/>
      <c r="Y53" s="81"/>
      <c r="AJ53" s="55"/>
      <c r="AK53" s="55"/>
    </row>
    <row r="54" spans="1:37" ht="18" x14ac:dyDescent="0.25">
      <c r="A54" s="55"/>
      <c r="B54" s="8" t="s">
        <v>3</v>
      </c>
      <c r="C54" s="12">
        <f>Y60</f>
        <v>0</v>
      </c>
      <c r="D54" s="13">
        <f>Z60</f>
        <v>0</v>
      </c>
      <c r="E54" s="55"/>
      <c r="F54" s="55"/>
      <c r="G54" s="152"/>
      <c r="H54" s="152"/>
      <c r="I54" s="55"/>
      <c r="J54" s="55"/>
      <c r="K54" s="55"/>
      <c r="T54" s="80"/>
      <c r="Y54" s="153"/>
      <c r="AJ54" s="55"/>
      <c r="AK54" s="55"/>
    </row>
    <row r="55" spans="1:37" ht="18" x14ac:dyDescent="0.25">
      <c r="A55" s="55"/>
      <c r="B55" s="8" t="s">
        <v>0</v>
      </c>
      <c r="C55" s="12">
        <f>Y62</f>
        <v>0</v>
      </c>
      <c r="D55" s="13">
        <f>Z62</f>
        <v>0</v>
      </c>
      <c r="E55" s="55"/>
      <c r="F55" s="55"/>
      <c r="G55" s="152"/>
      <c r="H55" s="152"/>
      <c r="I55" s="55"/>
      <c r="J55" s="55"/>
      <c r="K55" s="55"/>
      <c r="Y55" s="153"/>
      <c r="AJ55" s="55"/>
      <c r="AK55" s="55"/>
    </row>
    <row r="56" spans="1:37" ht="18" x14ac:dyDescent="0.25">
      <c r="A56" s="55"/>
      <c r="B56" s="8" t="s">
        <v>85</v>
      </c>
      <c r="C56" s="12">
        <f>Y64</f>
        <v>0</v>
      </c>
      <c r="D56" s="13">
        <f>Z64</f>
        <v>0</v>
      </c>
      <c r="E56" s="55"/>
      <c r="F56" s="55"/>
      <c r="G56" s="152"/>
      <c r="H56" s="152"/>
      <c r="I56" s="55"/>
      <c r="J56" s="55"/>
      <c r="K56" s="55"/>
      <c r="Y56" s="153"/>
      <c r="AJ56" s="55"/>
      <c r="AK56" s="55"/>
    </row>
    <row r="57" spans="1:37" ht="18" x14ac:dyDescent="0.25">
      <c r="A57" s="55"/>
      <c r="B57" s="8" t="s">
        <v>2</v>
      </c>
      <c r="C57" s="12">
        <f>Y66</f>
        <v>0</v>
      </c>
      <c r="D57" s="13">
        <f>Z66</f>
        <v>0</v>
      </c>
      <c r="E57" s="55"/>
      <c r="F57" s="55"/>
      <c r="G57" s="152"/>
      <c r="H57" s="152"/>
      <c r="I57" s="55"/>
      <c r="J57" s="55"/>
      <c r="K57" s="55"/>
      <c r="Y57" s="153"/>
      <c r="AJ57" s="55"/>
      <c r="AK57" s="55"/>
    </row>
    <row r="58" spans="1:37" ht="18" x14ac:dyDescent="0.25">
      <c r="A58" s="55"/>
      <c r="B58" s="8" t="s">
        <v>1</v>
      </c>
      <c r="C58" s="12">
        <f>Y68</f>
        <v>0</v>
      </c>
      <c r="D58" s="13">
        <f>Z68</f>
        <v>0</v>
      </c>
      <c r="E58" s="55"/>
      <c r="F58" s="55"/>
      <c r="G58" s="152"/>
      <c r="H58" s="152"/>
      <c r="I58" s="55"/>
      <c r="J58" s="55"/>
      <c r="K58" s="55"/>
      <c r="L58" s="215" t="s">
        <v>53</v>
      </c>
      <c r="M58" s="216"/>
      <c r="N58" s="216"/>
      <c r="O58" s="216"/>
      <c r="P58" s="216"/>
      <c r="Q58" s="216"/>
      <c r="R58" s="217"/>
      <c r="S58" s="215" t="s">
        <v>51</v>
      </c>
      <c r="T58" s="216"/>
      <c r="U58" s="216"/>
      <c r="V58" s="216"/>
      <c r="W58" s="215" t="s">
        <v>129</v>
      </c>
      <c r="X58" s="217"/>
      <c r="Y58" s="215" t="s">
        <v>130</v>
      </c>
      <c r="Z58" s="217"/>
      <c r="AJ58" s="55"/>
      <c r="AK58" s="55"/>
    </row>
    <row r="59" spans="1:37" ht="18" x14ac:dyDescent="0.25">
      <c r="A59" s="55"/>
      <c r="B59" s="10" t="s">
        <v>83</v>
      </c>
      <c r="C59" s="14">
        <f>Y70</f>
        <v>0</v>
      </c>
      <c r="D59" s="15">
        <f>Z70</f>
        <v>0</v>
      </c>
      <c r="E59" s="55"/>
      <c r="F59" s="55"/>
      <c r="G59" s="152"/>
      <c r="H59" s="152"/>
      <c r="I59" s="55"/>
      <c r="J59" s="55"/>
      <c r="K59" s="55"/>
      <c r="L59" s="155" t="s">
        <v>4</v>
      </c>
      <c r="M59" s="63" t="s">
        <v>67</v>
      </c>
      <c r="N59" s="60" t="s">
        <v>65</v>
      </c>
      <c r="O59" s="60" t="s">
        <v>66</v>
      </c>
      <c r="P59" s="156" t="s">
        <v>50</v>
      </c>
      <c r="Q59" s="60" t="s">
        <v>64</v>
      </c>
      <c r="R59" s="60" t="s">
        <v>52</v>
      </c>
      <c r="S59" s="63" t="s">
        <v>46</v>
      </c>
      <c r="T59" s="60" t="s">
        <v>47</v>
      </c>
      <c r="U59" s="60" t="s">
        <v>6</v>
      </c>
      <c r="V59" s="60" t="s">
        <v>5</v>
      </c>
      <c r="W59" s="67" t="s">
        <v>69</v>
      </c>
      <c r="X59" s="142" t="s">
        <v>70</v>
      </c>
      <c r="Y59" s="72" t="s">
        <v>77</v>
      </c>
      <c r="Z59" s="157" t="s">
        <v>49</v>
      </c>
      <c r="AJ59" s="55"/>
      <c r="AK59" s="55"/>
    </row>
    <row r="60" spans="1:37" ht="15" x14ac:dyDescent="0.2">
      <c r="A60" s="55"/>
      <c r="B60" s="158"/>
      <c r="C60" s="158"/>
      <c r="D60" s="158"/>
      <c r="E60" s="55"/>
      <c r="F60" s="55"/>
      <c r="G60" s="55"/>
      <c r="H60" s="55"/>
      <c r="I60" s="55"/>
      <c r="J60" s="55"/>
      <c r="K60" s="55"/>
      <c r="L60" s="159" t="s">
        <v>110</v>
      </c>
      <c r="M60" s="160">
        <v>3.9287000000000001</v>
      </c>
      <c r="N60" s="161">
        <v>2.1387</v>
      </c>
      <c r="O60" s="161">
        <v>0.9476</v>
      </c>
      <c r="P60" s="151">
        <f t="shared" ref="P60:P71" si="30">M60-N60</f>
        <v>1.79</v>
      </c>
      <c r="Q60" s="151">
        <f>M60-N60*POWER(O60,AB32)-(P60)</f>
        <v>0</v>
      </c>
      <c r="R60" s="90">
        <f t="shared" ref="R60:R67" si="31">Q60*1000</f>
        <v>0</v>
      </c>
      <c r="S60" s="162">
        <f>R60*N32*M32</f>
        <v>0</v>
      </c>
      <c r="T60" s="163">
        <f>S60+S61</f>
        <v>0</v>
      </c>
      <c r="U60" s="163">
        <f>T46</f>
        <v>0</v>
      </c>
      <c r="V60" s="163">
        <f>T60-U60</f>
        <v>0</v>
      </c>
      <c r="W60" s="164"/>
      <c r="X60" s="165"/>
      <c r="Y60" s="166">
        <f>R60+R61</f>
        <v>0</v>
      </c>
      <c r="Z60" s="167">
        <f>IF(OR(M32=0,M32=1),$V$60,IF(M32&lt;1,$V$60/M32,IF(M32&gt;1,$V$60/M32,0)))</f>
        <v>0</v>
      </c>
      <c r="AJ60" s="55"/>
      <c r="AK60" s="55"/>
    </row>
    <row r="61" spans="1:37" ht="18" x14ac:dyDescent="0.25">
      <c r="A61" s="55"/>
      <c r="B61" s="224" t="s">
        <v>125</v>
      </c>
      <c r="C61" s="225"/>
      <c r="D61" s="226"/>
      <c r="E61" s="55"/>
      <c r="F61" s="55"/>
      <c r="G61" s="55"/>
      <c r="H61" s="55"/>
      <c r="I61" s="55"/>
      <c r="J61" s="55"/>
      <c r="K61" s="55"/>
      <c r="L61" s="168" t="s">
        <v>116</v>
      </c>
      <c r="M61" s="169">
        <v>3.98</v>
      </c>
      <c r="N61" s="170">
        <v>0.377</v>
      </c>
      <c r="O61" s="170">
        <v>0.80900000000000005</v>
      </c>
      <c r="P61" s="171">
        <f t="shared" si="30"/>
        <v>3.6029999999999998</v>
      </c>
      <c r="Q61" s="171">
        <f>(M61-N61*POWER(O61,AC32)-(P61))*W61</f>
        <v>0</v>
      </c>
      <c r="R61" s="108">
        <f t="shared" si="31"/>
        <v>0</v>
      </c>
      <c r="S61" s="172">
        <f>R61*N32*M32</f>
        <v>0</v>
      </c>
      <c r="T61" s="173"/>
      <c r="U61" s="173"/>
      <c r="V61" s="173"/>
      <c r="W61" s="174">
        <f>IF(AB32&lt;$W$52,0,1)</f>
        <v>0</v>
      </c>
      <c r="X61" s="175"/>
      <c r="Y61" s="176"/>
      <c r="Z61" s="76"/>
      <c r="AJ61" s="55"/>
      <c r="AK61" s="55"/>
    </row>
    <row r="62" spans="1:37" ht="36" x14ac:dyDescent="0.25">
      <c r="A62" s="55"/>
      <c r="B62" s="17" t="s">
        <v>124</v>
      </c>
      <c r="C62" s="229">
        <f>V76</f>
        <v>0</v>
      </c>
      <c r="D62" s="230"/>
      <c r="E62" s="55"/>
      <c r="F62" s="55"/>
      <c r="G62" s="55"/>
      <c r="H62" s="55"/>
      <c r="I62" s="55"/>
      <c r="J62" s="55"/>
      <c r="K62" s="55"/>
      <c r="L62" s="177" t="s">
        <v>111</v>
      </c>
      <c r="M62" s="160">
        <v>2.27</v>
      </c>
      <c r="N62" s="161">
        <v>1.58</v>
      </c>
      <c r="O62" s="178">
        <v>0.93200000000000005</v>
      </c>
      <c r="P62" s="179">
        <f t="shared" si="30"/>
        <v>0.69</v>
      </c>
      <c r="Q62" s="179">
        <f>M62-N62*POWER(O62,AB33)-(P62)</f>
        <v>0</v>
      </c>
      <c r="R62" s="180">
        <f t="shared" si="31"/>
        <v>0</v>
      </c>
      <c r="S62" s="181">
        <f>R62*N33*M33</f>
        <v>0</v>
      </c>
      <c r="T62" s="182">
        <f>S62+S63</f>
        <v>0</v>
      </c>
      <c r="U62" s="182">
        <f>T47</f>
        <v>0</v>
      </c>
      <c r="V62" s="182">
        <f>T62-U62</f>
        <v>0</v>
      </c>
      <c r="W62" s="183"/>
      <c r="X62" s="184"/>
      <c r="Y62" s="166">
        <f>R62+R63</f>
        <v>0</v>
      </c>
      <c r="Z62" s="167">
        <f>IF(OR(M33=0,M33=1),$V$62,IF(M33&lt;1,$V$62/M33,IF(M33&gt;1,$V$62/M33,0)))</f>
        <v>0</v>
      </c>
      <c r="AJ62" s="55"/>
      <c r="AK62" s="55"/>
    </row>
    <row r="63" spans="1:37" ht="15" x14ac:dyDescent="0.2">
      <c r="A63" s="55"/>
      <c r="B63" s="185"/>
      <c r="C63" s="185"/>
      <c r="D63" s="185"/>
      <c r="E63" s="185"/>
      <c r="F63" s="18"/>
      <c r="G63" s="22"/>
      <c r="H63" s="22"/>
      <c r="I63" s="55"/>
      <c r="J63" s="55"/>
      <c r="K63" s="55"/>
      <c r="L63" s="168" t="s">
        <v>112</v>
      </c>
      <c r="M63" s="169">
        <v>2.3050000000000002</v>
      </c>
      <c r="N63" s="170">
        <v>0.36199999999999999</v>
      </c>
      <c r="O63" s="170">
        <v>0.83899999999999997</v>
      </c>
      <c r="P63" s="171">
        <f t="shared" si="30"/>
        <v>1.9430000000000001</v>
      </c>
      <c r="Q63" s="171">
        <f>(M63-N63*POWER(O63,AC33)-(P63))*W63</f>
        <v>0</v>
      </c>
      <c r="R63" s="108">
        <f t="shared" si="31"/>
        <v>0</v>
      </c>
      <c r="S63" s="172">
        <f>R63*N33*M33</f>
        <v>0</v>
      </c>
      <c r="T63" s="173"/>
      <c r="U63" s="173"/>
      <c r="V63" s="173"/>
      <c r="W63" s="174">
        <f>IF(AB33&lt;$W$52,0,1)</f>
        <v>0</v>
      </c>
      <c r="X63" s="175"/>
      <c r="Y63" s="176"/>
      <c r="Z63" s="76"/>
      <c r="AJ63" s="55"/>
      <c r="AK63" s="55"/>
    </row>
    <row r="64" spans="1:37" ht="15" x14ac:dyDescent="0.2">
      <c r="A64" s="55"/>
      <c r="B64" s="185"/>
      <c r="C64" s="185"/>
      <c r="D64" s="185"/>
      <c r="E64" s="185"/>
      <c r="F64" s="23"/>
      <c r="G64" s="22"/>
      <c r="H64" s="22"/>
      <c r="I64" s="55"/>
      <c r="J64" s="55"/>
      <c r="K64" s="55"/>
      <c r="L64" s="159" t="s">
        <v>117</v>
      </c>
      <c r="M64" s="160">
        <v>3.6749999999999998</v>
      </c>
      <c r="N64" s="161">
        <v>2.3959999999999999</v>
      </c>
      <c r="O64" s="161">
        <v>0.95799999999999996</v>
      </c>
      <c r="P64" s="151">
        <f t="shared" si="30"/>
        <v>1.2789999999999999</v>
      </c>
      <c r="Q64" s="151">
        <f>M64-N64*POWER(O64,AB34)-(P64)</f>
        <v>0</v>
      </c>
      <c r="R64" s="90">
        <f t="shared" si="31"/>
        <v>0</v>
      </c>
      <c r="S64" s="162">
        <f>R64*N34*M34</f>
        <v>0</v>
      </c>
      <c r="T64" s="163">
        <f>S64+S65</f>
        <v>0</v>
      </c>
      <c r="U64" s="163">
        <f>T48</f>
        <v>0</v>
      </c>
      <c r="V64" s="163">
        <f>T64-U64</f>
        <v>0</v>
      </c>
      <c r="W64" s="164"/>
      <c r="X64" s="165"/>
      <c r="Y64" s="166">
        <f>R64+R65</f>
        <v>0</v>
      </c>
      <c r="Z64" s="167">
        <f>IF(OR(M34=0,M34=1),$V$64,IF(M34&lt;1,$V$64/M34,IF(M34&gt;1,$V$64/M34,0)))</f>
        <v>0</v>
      </c>
      <c r="AJ64" s="55"/>
      <c r="AK64" s="55"/>
    </row>
    <row r="65" spans="1:37" ht="15" x14ac:dyDescent="0.2">
      <c r="A65" s="55"/>
      <c r="B65" s="185"/>
      <c r="C65" s="185"/>
      <c r="D65" s="185"/>
      <c r="E65" s="185"/>
      <c r="F65" s="158"/>
      <c r="G65" s="23"/>
      <c r="H65" s="23"/>
      <c r="I65" s="55"/>
      <c r="J65" s="55"/>
      <c r="K65" s="55"/>
      <c r="L65" s="168" t="s">
        <v>113</v>
      </c>
      <c r="M65" s="169">
        <v>3.79</v>
      </c>
      <c r="N65" s="170">
        <v>0.55600000000000005</v>
      </c>
      <c r="O65" s="170">
        <v>0.94699999999999995</v>
      </c>
      <c r="P65" s="186">
        <f t="shared" si="30"/>
        <v>3.234</v>
      </c>
      <c r="Q65" s="171">
        <f>(M65-N65*POWER(O65,AC34)-(P65))*W65</f>
        <v>0</v>
      </c>
      <c r="R65" s="108">
        <f t="shared" si="31"/>
        <v>0</v>
      </c>
      <c r="S65" s="172">
        <f>R65*N34*M34</f>
        <v>0</v>
      </c>
      <c r="T65" s="173"/>
      <c r="U65" s="173"/>
      <c r="V65" s="173"/>
      <c r="W65" s="174">
        <f>IF(AB34&lt;$W$52,0,1)</f>
        <v>0</v>
      </c>
      <c r="X65" s="175"/>
      <c r="Y65" s="176"/>
      <c r="Z65" s="76"/>
      <c r="AJ65" s="55"/>
      <c r="AK65" s="55"/>
    </row>
    <row r="66" spans="1:37" ht="15" x14ac:dyDescent="0.2">
      <c r="A66" s="55"/>
      <c r="B66" s="185"/>
      <c r="C66" s="185"/>
      <c r="D66" s="185"/>
      <c r="E66" s="185"/>
      <c r="F66" s="158"/>
      <c r="G66" s="185"/>
      <c r="H66" s="185"/>
      <c r="I66" s="55"/>
      <c r="J66" s="55"/>
      <c r="K66" s="55"/>
      <c r="L66" s="159" t="s">
        <v>118</v>
      </c>
      <c r="M66" s="160">
        <v>1.79</v>
      </c>
      <c r="N66" s="161">
        <v>0.98899999999999999</v>
      </c>
      <c r="O66" s="161">
        <v>0.89200000000000002</v>
      </c>
      <c r="P66" s="151">
        <f t="shared" si="30"/>
        <v>0.80100000000000005</v>
      </c>
      <c r="Q66" s="151">
        <f>M66-N66*POWER(O66,AB35)-(P66)</f>
        <v>0</v>
      </c>
      <c r="R66" s="90">
        <f t="shared" si="31"/>
        <v>0</v>
      </c>
      <c r="S66" s="162">
        <f>R66*N35*M35</f>
        <v>0</v>
      </c>
      <c r="T66" s="163">
        <f>S66+S67</f>
        <v>0</v>
      </c>
      <c r="U66" s="163">
        <f>T49</f>
        <v>0</v>
      </c>
      <c r="V66" s="163">
        <f>T66-U66</f>
        <v>0</v>
      </c>
      <c r="W66" s="164"/>
      <c r="X66" s="165"/>
      <c r="Y66" s="166">
        <f>R66+R67</f>
        <v>0</v>
      </c>
      <c r="Z66" s="167">
        <f>IF(OR(M35=0,M35=1),$V$66,IF(M35&lt;1,$V$66/M35,IF(M35&gt;1,$V$66/M35,0)))</f>
        <v>0</v>
      </c>
      <c r="AJ66" s="55"/>
      <c r="AK66" s="55"/>
    </row>
    <row r="67" spans="1:37" ht="15" x14ac:dyDescent="0.2">
      <c r="A67" s="55"/>
      <c r="B67" s="185"/>
      <c r="C67" s="185"/>
      <c r="D67" s="185"/>
      <c r="E67" s="185"/>
      <c r="F67" s="158"/>
      <c r="G67" s="185"/>
      <c r="H67" s="185"/>
      <c r="I67" s="55"/>
      <c r="J67" s="55"/>
      <c r="K67" s="55"/>
      <c r="L67" s="168" t="s">
        <v>114</v>
      </c>
      <c r="M67" s="169">
        <v>1.81</v>
      </c>
      <c r="N67" s="170">
        <v>0.28599999999999998</v>
      </c>
      <c r="O67" s="170">
        <v>0.92600000000000005</v>
      </c>
      <c r="P67" s="171">
        <f t="shared" si="30"/>
        <v>1.524</v>
      </c>
      <c r="Q67" s="171">
        <f>(M67-N67*POWER(O67,AC35)-(P67))*W67</f>
        <v>0</v>
      </c>
      <c r="R67" s="108">
        <f t="shared" si="31"/>
        <v>0</v>
      </c>
      <c r="S67" s="172">
        <f>R67*N35*M35</f>
        <v>0</v>
      </c>
      <c r="T67" s="173"/>
      <c r="U67" s="173"/>
      <c r="V67" s="173"/>
      <c r="W67" s="174">
        <f>IF(AB35&lt;$W$52,0,1)</f>
        <v>0</v>
      </c>
      <c r="X67" s="175"/>
      <c r="Y67" s="176"/>
      <c r="Z67" s="187"/>
      <c r="AJ67" s="55"/>
      <c r="AK67" s="55"/>
    </row>
    <row r="68" spans="1:37" ht="15" x14ac:dyDescent="0.2">
      <c r="A68" s="55"/>
      <c r="B68" s="185"/>
      <c r="C68" s="185"/>
      <c r="D68" s="185"/>
      <c r="E68" s="185"/>
      <c r="F68" s="158"/>
      <c r="G68" s="185"/>
      <c r="H68" s="185"/>
      <c r="I68" s="55"/>
      <c r="J68" s="55"/>
      <c r="K68" s="55"/>
      <c r="L68" s="188" t="s">
        <v>119</v>
      </c>
      <c r="M68" s="160">
        <v>1.9219999999999999</v>
      </c>
      <c r="N68" s="161">
        <v>1.095</v>
      </c>
      <c r="O68" s="161">
        <v>0.88700000000000001</v>
      </c>
      <c r="P68" s="179">
        <f t="shared" si="30"/>
        <v>0.82699999999999996</v>
      </c>
      <c r="Q68" s="179">
        <f>M68-N68*POWER(O68,AC36)-(P68)</f>
        <v>0</v>
      </c>
      <c r="R68" s="180">
        <f t="shared" ref="R68:R69" si="32">Q68*1000</f>
        <v>0</v>
      </c>
      <c r="S68" s="181">
        <f>R68*N36*M36</f>
        <v>0</v>
      </c>
      <c r="T68" s="182">
        <f>S68+S69</f>
        <v>0</v>
      </c>
      <c r="U68" s="182">
        <f>T50</f>
        <v>0</v>
      </c>
      <c r="V68" s="182">
        <f>T68-U68</f>
        <v>0</v>
      </c>
      <c r="W68" s="183"/>
      <c r="X68" s="184"/>
      <c r="Y68" s="166">
        <f>R68+R69</f>
        <v>0</v>
      </c>
      <c r="Z68" s="167">
        <f>IF(OR(M36=0,M36=1),$V$68,IF(M36&lt;1,$V$68/M36,IF(M36&gt;1,$V$68/M36,0)))</f>
        <v>0</v>
      </c>
      <c r="AJ68" s="55"/>
      <c r="AK68" s="55"/>
    </row>
    <row r="69" spans="1:37" ht="46.5" customHeight="1" x14ac:dyDescent="0.2">
      <c r="A69" s="55"/>
      <c r="B69" s="214" t="s">
        <v>131</v>
      </c>
      <c r="C69" s="214"/>
      <c r="D69" s="214"/>
      <c r="E69" s="214"/>
      <c r="F69" s="214"/>
      <c r="G69" s="214"/>
      <c r="H69" s="214"/>
      <c r="I69" s="214"/>
      <c r="J69" s="35"/>
      <c r="K69" s="35"/>
      <c r="L69" s="189" t="s">
        <v>115</v>
      </c>
      <c r="M69" s="169">
        <v>1.972</v>
      </c>
      <c r="N69" s="170">
        <v>0.28499999999999998</v>
      </c>
      <c r="O69" s="170">
        <v>0.97399999999999998</v>
      </c>
      <c r="P69" s="171">
        <f t="shared" si="30"/>
        <v>1.6870000000000001</v>
      </c>
      <c r="Q69" s="171">
        <f>(M69-N69*POWER(O69,AD36)-(P69))*X69</f>
        <v>0</v>
      </c>
      <c r="R69" s="108">
        <f t="shared" si="32"/>
        <v>0</v>
      </c>
      <c r="S69" s="172">
        <f>R69*N36*M36</f>
        <v>0</v>
      </c>
      <c r="T69" s="171"/>
      <c r="U69" s="171"/>
      <c r="V69" s="171"/>
      <c r="W69" s="190"/>
      <c r="X69" s="191">
        <f>IF(AC36&lt;$X$52,0,1)</f>
        <v>0</v>
      </c>
      <c r="Y69" s="176"/>
      <c r="Z69" s="187"/>
      <c r="AJ69" s="35"/>
      <c r="AK69" s="35"/>
    </row>
    <row r="70" spans="1:37" ht="7.5" customHeight="1" x14ac:dyDescent="0.2">
      <c r="A70" s="55"/>
      <c r="B70" s="185"/>
      <c r="C70" s="185"/>
      <c r="D70" s="185"/>
      <c r="E70" s="185"/>
      <c r="F70" s="158"/>
      <c r="G70" s="185"/>
      <c r="H70" s="185"/>
      <c r="I70" s="55"/>
      <c r="J70" s="55"/>
      <c r="K70" s="55"/>
      <c r="L70" s="192" t="s">
        <v>120</v>
      </c>
      <c r="M70" s="193">
        <v>1.792</v>
      </c>
      <c r="N70" s="194">
        <v>0.93700000000000006</v>
      </c>
      <c r="O70" s="194">
        <v>0.89300000000000002</v>
      </c>
      <c r="P70" s="83">
        <f t="shared" si="30"/>
        <v>0.85499999999999998</v>
      </c>
      <c r="Q70" s="83">
        <f>M70-N70*POWER(O70,AC37)-(P70)</f>
        <v>0</v>
      </c>
      <c r="R70" s="97">
        <f t="shared" ref="R70:R71" si="33">Q70*1000</f>
        <v>0</v>
      </c>
      <c r="S70" s="195">
        <f>R70*N37*M37</f>
        <v>0</v>
      </c>
      <c r="T70" s="82">
        <f>S70+S71</f>
        <v>0</v>
      </c>
      <c r="U70" s="82">
        <f>T51</f>
        <v>0</v>
      </c>
      <c r="V70" s="82">
        <f>T70-U70</f>
        <v>0</v>
      </c>
      <c r="W70" s="196"/>
      <c r="X70" s="197"/>
      <c r="Y70" s="164">
        <f>R70+R71</f>
        <v>0</v>
      </c>
      <c r="Z70" s="198">
        <f>IF(OR(M37=0,M37=1),$V$70,IF(M37&lt;1,$V$70/M37,IF(M37&gt;1,$V$70/M37,0)))</f>
        <v>0</v>
      </c>
      <c r="AJ70" s="55"/>
      <c r="AK70" s="55"/>
    </row>
    <row r="71" spans="1:37" ht="30" customHeight="1" x14ac:dyDescent="0.2">
      <c r="A71" s="55"/>
      <c r="B71" s="214" t="s">
        <v>84</v>
      </c>
      <c r="C71" s="214"/>
      <c r="D71" s="214"/>
      <c r="E71" s="214"/>
      <c r="F71" s="214"/>
      <c r="G71" s="214"/>
      <c r="H71" s="214"/>
      <c r="I71" s="214"/>
      <c r="J71" s="35"/>
      <c r="K71" s="35"/>
      <c r="L71" s="189" t="s">
        <v>121</v>
      </c>
      <c r="M71" s="169">
        <v>1.72</v>
      </c>
      <c r="N71" s="170">
        <v>0.221</v>
      </c>
      <c r="O71" s="170">
        <v>0.94199999999999995</v>
      </c>
      <c r="P71" s="171">
        <f t="shared" si="30"/>
        <v>1.4989999999999999</v>
      </c>
      <c r="Q71" s="171">
        <f>(M71-N71*POWER(O71,AD37)-(P71))*X71</f>
        <v>0</v>
      </c>
      <c r="R71" s="108">
        <f t="shared" si="33"/>
        <v>0</v>
      </c>
      <c r="S71" s="172">
        <f>R71*N37*M37</f>
        <v>0</v>
      </c>
      <c r="T71" s="171"/>
      <c r="U71" s="199"/>
      <c r="V71" s="199"/>
      <c r="W71" s="189"/>
      <c r="X71" s="191">
        <f>IF(AC37&lt;$X$52,0,1)</f>
        <v>0</v>
      </c>
      <c r="Y71" s="174"/>
      <c r="Z71" s="191"/>
      <c r="AJ71" s="35"/>
      <c r="AK71" s="35"/>
    </row>
    <row r="72" spans="1:37" ht="7.5" customHeight="1" x14ac:dyDescent="0.2">
      <c r="A72" s="55"/>
      <c r="B72" s="185"/>
      <c r="C72" s="185"/>
      <c r="D72" s="185"/>
      <c r="E72" s="185"/>
      <c r="F72" s="55"/>
      <c r="G72" s="55"/>
      <c r="H72" s="55"/>
      <c r="I72" s="55"/>
      <c r="J72" s="55"/>
      <c r="K72" s="55"/>
      <c r="Y72" s="153"/>
      <c r="AJ72" s="55"/>
      <c r="AK72" s="55"/>
    </row>
    <row r="73" spans="1:37" ht="47.25" customHeight="1" x14ac:dyDescent="0.2">
      <c r="A73" s="55"/>
      <c r="B73" s="214" t="s">
        <v>89</v>
      </c>
      <c r="C73" s="214"/>
      <c r="D73" s="214"/>
      <c r="E73" s="214"/>
      <c r="F73" s="214"/>
      <c r="G73" s="214"/>
      <c r="H73" s="214"/>
      <c r="I73" s="214"/>
      <c r="J73" s="35"/>
      <c r="K73" s="35"/>
      <c r="Y73" s="153"/>
      <c r="AJ73" s="35"/>
      <c r="AK73" s="35"/>
    </row>
    <row r="74" spans="1:37" ht="7.5" customHeight="1" x14ac:dyDescent="0.2">
      <c r="A74" s="55"/>
      <c r="B74" s="185"/>
      <c r="C74" s="185"/>
      <c r="D74" s="185"/>
      <c r="E74" s="185"/>
      <c r="F74" s="158"/>
      <c r="G74" s="102"/>
      <c r="H74" s="55"/>
      <c r="I74" s="55"/>
      <c r="J74" s="55"/>
      <c r="K74" s="55"/>
      <c r="T74" s="84" t="s">
        <v>59</v>
      </c>
      <c r="U74" s="85"/>
      <c r="V74" s="154"/>
      <c r="Y74" s="153"/>
      <c r="AJ74" s="55"/>
      <c r="AK74" s="55"/>
    </row>
    <row r="75" spans="1:37" ht="15" x14ac:dyDescent="0.2">
      <c r="A75" s="55"/>
      <c r="B75" s="214" t="s">
        <v>132</v>
      </c>
      <c r="C75" s="214"/>
      <c r="D75" s="214"/>
      <c r="E75" s="214"/>
      <c r="F75" s="214"/>
      <c r="G75" s="214"/>
      <c r="H75" s="214"/>
      <c r="I75" s="214"/>
      <c r="J75" s="55"/>
      <c r="K75" s="55"/>
      <c r="T75" s="63" t="s">
        <v>60</v>
      </c>
      <c r="U75" s="60" t="s">
        <v>61</v>
      </c>
      <c r="V75" s="61" t="s">
        <v>62</v>
      </c>
      <c r="Y75" s="153"/>
      <c r="AJ75" s="55"/>
      <c r="AK75" s="55"/>
    </row>
    <row r="76" spans="1:37" x14ac:dyDescent="0.2">
      <c r="A76" s="55"/>
      <c r="B76" s="55"/>
      <c r="C76" s="55"/>
      <c r="D76" s="73"/>
      <c r="E76" s="73"/>
      <c r="F76" s="55"/>
      <c r="G76" s="55"/>
      <c r="H76" s="55"/>
      <c r="I76" s="55"/>
      <c r="J76" s="55"/>
      <c r="K76" s="55"/>
      <c r="T76" s="146">
        <f>SUM(T60:T71)</f>
        <v>0</v>
      </c>
      <c r="U76" s="147">
        <f>SUM(U60:U71)</f>
        <v>0</v>
      </c>
      <c r="V76" s="148">
        <f>SUM(V60:V71)</f>
        <v>0</v>
      </c>
      <c r="Y76" s="80"/>
      <c r="Z76" s="80"/>
      <c r="AJ76" s="55"/>
      <c r="AK76" s="55"/>
    </row>
    <row r="77" spans="1:37" x14ac:dyDescent="0.2">
      <c r="A77" s="55"/>
      <c r="B77" s="18"/>
      <c r="C77" s="18"/>
      <c r="D77" s="18"/>
      <c r="E77" s="18"/>
      <c r="F77" s="18"/>
      <c r="G77" s="18"/>
      <c r="H77" s="55"/>
      <c r="I77" s="55"/>
      <c r="J77" s="55"/>
      <c r="K77" s="55"/>
      <c r="Y77" s="80"/>
      <c r="Z77" s="80"/>
      <c r="AJ77" s="55"/>
      <c r="AK77" s="55"/>
    </row>
    <row r="78" spans="1:37" x14ac:dyDescent="0.2">
      <c r="A78" s="55"/>
      <c r="B78" s="24"/>
      <c r="C78" s="18"/>
      <c r="D78" s="18"/>
      <c r="E78" s="18"/>
      <c r="F78" s="18"/>
      <c r="G78" s="18"/>
      <c r="H78" s="55"/>
      <c r="I78" s="55"/>
      <c r="J78" s="55"/>
      <c r="K78" s="55"/>
      <c r="Y78" s="80"/>
      <c r="Z78" s="80"/>
      <c r="AJ78" s="55"/>
      <c r="AK78" s="55"/>
    </row>
    <row r="79" spans="1:37" x14ac:dyDescent="0.2">
      <c r="B79" s="200"/>
      <c r="C79" s="200"/>
      <c r="D79" s="200"/>
      <c r="E79" s="200"/>
      <c r="F79" s="200"/>
      <c r="G79" s="200"/>
      <c r="I79" s="201"/>
      <c r="J79" s="201"/>
      <c r="K79" s="201"/>
    </row>
    <row r="80" spans="1:37" x14ac:dyDescent="0.2">
      <c r="B80" s="200"/>
      <c r="C80" s="200"/>
      <c r="D80" s="200"/>
      <c r="E80" s="200"/>
      <c r="F80" s="200"/>
      <c r="G80" s="200"/>
      <c r="I80" s="201"/>
      <c r="J80" s="201"/>
      <c r="K80" s="201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</row>
    <row r="81" spans="2:24" x14ac:dyDescent="0.2">
      <c r="B81" s="201"/>
      <c r="C81" s="201"/>
      <c r="D81" s="201"/>
      <c r="E81" s="201"/>
      <c r="F81" s="201"/>
      <c r="I81" s="201"/>
      <c r="J81" s="201"/>
      <c r="K81" s="201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</row>
    <row r="82" spans="2:24" ht="15" x14ac:dyDescent="0.2">
      <c r="B82" s="201"/>
      <c r="C82" s="201"/>
      <c r="D82" s="201"/>
      <c r="E82" s="201"/>
      <c r="F82" s="201"/>
      <c r="I82" s="201"/>
      <c r="J82" s="201"/>
      <c r="K82" s="201"/>
      <c r="L82" s="202"/>
      <c r="M82" s="194"/>
      <c r="N82" s="194"/>
      <c r="O82" s="194"/>
      <c r="P82" s="83"/>
      <c r="Q82" s="83"/>
      <c r="R82" s="97"/>
      <c r="S82" s="82"/>
      <c r="T82" s="82"/>
      <c r="U82" s="82"/>
      <c r="V82" s="82"/>
      <c r="W82" s="203"/>
      <c r="X82" s="203"/>
    </row>
    <row r="83" spans="2:24" ht="15" x14ac:dyDescent="0.2">
      <c r="B83" s="201"/>
      <c r="C83" s="201"/>
      <c r="D83" s="201"/>
      <c r="E83" s="201"/>
      <c r="F83" s="201"/>
      <c r="I83" s="201"/>
      <c r="J83" s="201"/>
      <c r="K83" s="201"/>
      <c r="L83" s="202"/>
      <c r="M83" s="194"/>
      <c r="N83" s="194"/>
      <c r="O83" s="194"/>
      <c r="P83" s="83"/>
      <c r="Q83" s="83"/>
      <c r="R83" s="97"/>
      <c r="S83" s="82"/>
      <c r="T83" s="82"/>
      <c r="U83" s="82"/>
      <c r="V83" s="82"/>
      <c r="W83" s="203"/>
      <c r="X83" s="203"/>
    </row>
    <row r="84" spans="2:24" x14ac:dyDescent="0.2">
      <c r="B84" s="201"/>
      <c r="C84" s="201"/>
      <c r="D84" s="201"/>
      <c r="E84" s="201"/>
      <c r="F84" s="201"/>
      <c r="I84" s="201"/>
      <c r="J84" s="201"/>
      <c r="K84" s="201"/>
    </row>
    <row r="86" spans="2:24" x14ac:dyDescent="0.2">
      <c r="S86" s="204"/>
      <c r="W86" s="205"/>
      <c r="X86" s="80"/>
    </row>
    <row r="87" spans="2:24" x14ac:dyDescent="0.2">
      <c r="S87" s="204"/>
    </row>
    <row r="88" spans="2:24" x14ac:dyDescent="0.2">
      <c r="I88" s="56" t="s">
        <v>105</v>
      </c>
      <c r="S88" s="143"/>
    </row>
  </sheetData>
  <sheetProtection password="C75C" sheet="1" objects="1" scenarios="1"/>
  <mergeCells count="28">
    <mergeCell ref="B75:I75"/>
    <mergeCell ref="S58:V58"/>
    <mergeCell ref="W58:X58"/>
    <mergeCell ref="Y58:Z58"/>
    <mergeCell ref="C10:D10"/>
    <mergeCell ref="C12:D12"/>
    <mergeCell ref="C11:D11"/>
    <mergeCell ref="B24:F24"/>
    <mergeCell ref="Y16:AA16"/>
    <mergeCell ref="W50:X50"/>
    <mergeCell ref="N44:U44"/>
    <mergeCell ref="L58:R58"/>
    <mergeCell ref="B73:I73"/>
    <mergeCell ref="B14:D14"/>
    <mergeCell ref="B33:C33"/>
    <mergeCell ref="B35:C35"/>
    <mergeCell ref="B71:I71"/>
    <mergeCell ref="AB30:AD30"/>
    <mergeCell ref="O30:S30"/>
    <mergeCell ref="T30:AA30"/>
    <mergeCell ref="N16:X16"/>
    <mergeCell ref="L30:N30"/>
    <mergeCell ref="C42:G42"/>
    <mergeCell ref="B41:G41"/>
    <mergeCell ref="B61:D61"/>
    <mergeCell ref="B52:D52"/>
    <mergeCell ref="B69:I69"/>
    <mergeCell ref="C62:D62"/>
  </mergeCells>
  <pageMargins left="0.7" right="0.7" top="0.75" bottom="0.75" header="0.3" footer="0.3"/>
  <pageSetup scale="1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Optimize_Solver">
                <anchor moveWithCells="1" sizeWithCells="1">
                  <from>
                    <xdr:col>1</xdr:col>
                    <xdr:colOff>57150</xdr:colOff>
                    <xdr:row>36</xdr:row>
                    <xdr:rowOff>66675</xdr:rowOff>
                  </from>
                  <to>
                    <xdr:col>1</xdr:col>
                    <xdr:colOff>1323975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Pict="0" macro="[0]!Reset_Form">
                <anchor moveWithCells="1" sizeWithCells="1">
                  <from>
                    <xdr:col>2</xdr:col>
                    <xdr:colOff>342900</xdr:colOff>
                    <xdr:row>36</xdr:row>
                    <xdr:rowOff>57150</xdr:rowOff>
                  </from>
                  <to>
                    <xdr:col>3</xdr:col>
                    <xdr:colOff>600075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Pict="0" macro="[0]!_xludf.Help">
                <anchor moveWithCells="1" sizeWithCells="1">
                  <from>
                    <xdr:col>1</xdr:col>
                    <xdr:colOff>209550</xdr:colOff>
                    <xdr:row>4</xdr:row>
                    <xdr:rowOff>0</xdr:rowOff>
                  </from>
                  <to>
                    <xdr:col>1</xdr:col>
                    <xdr:colOff>1409700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Button 15">
              <controlPr defaultSize="0" print="0" autoFill="0" autoPict="0" macro="[0]!Print_Output">
                <anchor moveWithCells="1" sizeWithCells="1">
                  <from>
                    <xdr:col>1</xdr:col>
                    <xdr:colOff>57150</xdr:colOff>
                    <xdr:row>64</xdr:row>
                    <xdr:rowOff>76200</xdr:rowOff>
                  </from>
                  <to>
                    <xdr:col>1</xdr:col>
                    <xdr:colOff>1323975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Button 16">
              <controlPr defaultSize="0" print="0" autoFill="0" autoPict="0" macro="[0]!Hide_Protect">
                <anchor moveWithCells="1" sizeWithCells="1">
                  <from>
                    <xdr:col>11</xdr:col>
                    <xdr:colOff>57150</xdr:colOff>
                    <xdr:row>2</xdr:row>
                    <xdr:rowOff>76200</xdr:rowOff>
                  </from>
                  <to>
                    <xdr:col>11</xdr:col>
                    <xdr:colOff>1323975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Help and Instructions</vt:lpstr>
      <vt:lpstr>Fertilizer Optimization</vt:lpstr>
      <vt:lpstr>Output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mstockton2</dc:creator>
  <cp:lastModifiedBy>University of Nebraska-Lincoln</cp:lastModifiedBy>
  <cp:lastPrinted>2013-06-19T13:17:20Z</cp:lastPrinted>
  <dcterms:created xsi:type="dcterms:W3CDTF">2011-08-08T15:04:31Z</dcterms:created>
  <dcterms:modified xsi:type="dcterms:W3CDTF">2013-12-12T17:12:28Z</dcterms:modified>
</cp:coreProperties>
</file>